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argaca2\Desktop\"/>
    </mc:Choice>
  </mc:AlternateContent>
  <bookViews>
    <workbookView xWindow="1176" yWindow="1464" windowWidth="27240" windowHeight="15480"/>
  </bookViews>
  <sheets>
    <sheet name="hypervin_Información Viáticos" sheetId="1" r:id="rId1"/>
  </sheets>
  <definedNames>
    <definedName name="_xlnm._FilterDatabase" localSheetId="0" hidden="1">'hypervin_Información Viáticos'!$A$1:$AU$1599</definedName>
  </definedNames>
  <calcPr calcId="152511"/>
</workbook>
</file>

<file path=xl/calcChain.xml><?xml version="1.0" encoding="utf-8"?>
<calcChain xmlns="http://schemas.openxmlformats.org/spreadsheetml/2006/main">
  <c r="AM1599" i="1" l="1"/>
  <c r="AM1598" i="1"/>
  <c r="AM1597" i="1"/>
  <c r="AM1596" i="1"/>
  <c r="AM1595" i="1"/>
  <c r="AM1594" i="1"/>
  <c r="AM1593" i="1"/>
  <c r="AM1591" i="1"/>
  <c r="AM1590" i="1"/>
  <c r="AM1589" i="1"/>
  <c r="AM1587" i="1"/>
  <c r="AM1585" i="1"/>
  <c r="AM1584" i="1"/>
  <c r="AM1583" i="1"/>
  <c r="AM1582" i="1"/>
  <c r="AM1581" i="1"/>
  <c r="AM1580" i="1"/>
  <c r="AM1579" i="1"/>
  <c r="AM1578" i="1"/>
  <c r="AM1577" i="1"/>
  <c r="AM1576" i="1"/>
  <c r="AM1575" i="1"/>
  <c r="AM1574" i="1"/>
  <c r="AM1573" i="1"/>
  <c r="AM1572" i="1"/>
  <c r="AM1571" i="1"/>
  <c r="AM1570" i="1"/>
  <c r="AM1569" i="1"/>
  <c r="AM1568" i="1"/>
  <c r="AM1567" i="1"/>
  <c r="AM1566" i="1"/>
  <c r="AM1565" i="1"/>
  <c r="AM1564" i="1"/>
  <c r="AM1563" i="1"/>
  <c r="AM1562" i="1"/>
  <c r="AM1561" i="1"/>
  <c r="AM1560" i="1"/>
  <c r="AM1559" i="1"/>
  <c r="AM1558" i="1"/>
  <c r="AM1557" i="1"/>
  <c r="AM1556" i="1"/>
  <c r="AM1555" i="1"/>
  <c r="AM1554" i="1"/>
  <c r="AM1553" i="1"/>
  <c r="AM1552" i="1"/>
  <c r="AM1551" i="1"/>
  <c r="AM1550" i="1"/>
  <c r="AM1549" i="1"/>
  <c r="AM1548" i="1"/>
  <c r="AM1547" i="1"/>
  <c r="AM1546" i="1"/>
  <c r="AM1545" i="1"/>
  <c r="AM1544" i="1"/>
  <c r="AM1543" i="1"/>
  <c r="AM1542" i="1"/>
  <c r="AM1541" i="1"/>
  <c r="AM1540" i="1"/>
  <c r="AM1539" i="1"/>
  <c r="AM1538" i="1"/>
  <c r="AM1537" i="1"/>
  <c r="AM1536" i="1"/>
  <c r="AM1535" i="1"/>
  <c r="AM1534" i="1"/>
  <c r="AM1533" i="1"/>
  <c r="AM1532" i="1"/>
  <c r="AM1531" i="1"/>
  <c r="AM1530" i="1"/>
  <c r="AM1529" i="1"/>
  <c r="AM1528" i="1"/>
  <c r="AM1526" i="1"/>
  <c r="AM1524" i="1"/>
  <c r="AM1523" i="1"/>
  <c r="AM1522" i="1"/>
  <c r="AM1521" i="1"/>
  <c r="AM1520" i="1"/>
  <c r="AM1519" i="1"/>
  <c r="AM1518" i="1"/>
  <c r="AM1517" i="1"/>
  <c r="AM1516" i="1"/>
  <c r="AM1515" i="1"/>
  <c r="AM1514" i="1"/>
  <c r="AM1513" i="1"/>
  <c r="AM1512" i="1"/>
  <c r="AM1511" i="1"/>
  <c r="AM1510" i="1"/>
  <c r="AM1509" i="1"/>
  <c r="AM1508" i="1"/>
  <c r="AM1507" i="1"/>
  <c r="AM1506" i="1"/>
  <c r="AM1505" i="1"/>
  <c r="AM1504" i="1"/>
  <c r="AM1503" i="1"/>
  <c r="AM1502" i="1"/>
  <c r="AM1501" i="1"/>
  <c r="AM1500" i="1"/>
  <c r="AM1499" i="1"/>
  <c r="AM1498" i="1"/>
  <c r="AM1497" i="1"/>
  <c r="AM1496" i="1"/>
  <c r="AM1495" i="1"/>
  <c r="AM1494" i="1"/>
  <c r="AM1493" i="1"/>
  <c r="AM1492" i="1"/>
  <c r="AM1491" i="1"/>
  <c r="AM1490" i="1"/>
  <c r="AM1489" i="1"/>
  <c r="AM1488" i="1"/>
  <c r="AM1487" i="1"/>
  <c r="AM1486" i="1"/>
  <c r="AM1485" i="1"/>
  <c r="AM1484" i="1"/>
  <c r="AM1483" i="1"/>
  <c r="AM1482" i="1"/>
  <c r="AM1481" i="1"/>
  <c r="AM1480" i="1"/>
  <c r="AM1479" i="1"/>
  <c r="AM1478" i="1"/>
  <c r="AM1477" i="1"/>
  <c r="AM1476" i="1"/>
  <c r="AM1475" i="1"/>
  <c r="AM1474" i="1"/>
  <c r="AM1473" i="1"/>
  <c r="AM1472" i="1"/>
  <c r="AM1471" i="1"/>
  <c r="AM1470" i="1"/>
  <c r="AM1469" i="1"/>
  <c r="AM1468" i="1"/>
  <c r="AM1467" i="1"/>
  <c r="AM1466" i="1"/>
  <c r="AM1465" i="1"/>
  <c r="AM1464" i="1"/>
  <c r="AM1463" i="1"/>
  <c r="AM1462" i="1"/>
  <c r="AM1461" i="1"/>
  <c r="AM1460" i="1"/>
  <c r="AM1459" i="1"/>
  <c r="AM1458" i="1"/>
  <c r="AM1457" i="1"/>
  <c r="AM1456" i="1"/>
  <c r="AM1455" i="1"/>
  <c r="AM1454" i="1"/>
  <c r="AM1453" i="1"/>
  <c r="AM1452" i="1"/>
  <c r="AM1451" i="1"/>
  <c r="AM1450" i="1"/>
  <c r="AM1449" i="1"/>
  <c r="AM1448" i="1"/>
  <c r="AM1447" i="1"/>
  <c r="AM1446" i="1"/>
  <c r="AM1445" i="1"/>
  <c r="AM1444" i="1"/>
  <c r="AM1443" i="1"/>
  <c r="AM1442" i="1"/>
  <c r="AM1441" i="1"/>
  <c r="AM1440" i="1"/>
  <c r="AM1439" i="1"/>
  <c r="AM1438" i="1"/>
  <c r="AM1437" i="1"/>
  <c r="AM1436" i="1"/>
  <c r="AM1435" i="1"/>
  <c r="AM1434" i="1"/>
  <c r="AM1433" i="1"/>
  <c r="AM1432" i="1"/>
  <c r="AM1431" i="1"/>
  <c r="AM1430" i="1"/>
  <c r="AM1429" i="1"/>
  <c r="AM1428" i="1"/>
  <c r="AM1427" i="1"/>
  <c r="AM1426" i="1"/>
  <c r="AM1425" i="1"/>
  <c r="AM1424" i="1"/>
  <c r="AM1423" i="1"/>
  <c r="AM1422" i="1"/>
  <c r="AM1421" i="1"/>
  <c r="AM1420" i="1"/>
  <c r="AM1419" i="1"/>
  <c r="AM1418" i="1"/>
  <c r="AM1417" i="1"/>
  <c r="AM1416" i="1"/>
  <c r="AM1415" i="1"/>
  <c r="AM1414" i="1"/>
  <c r="AM1413" i="1"/>
  <c r="AM1412" i="1"/>
  <c r="AM1411" i="1"/>
  <c r="AM1410" i="1"/>
  <c r="AM1409" i="1"/>
  <c r="AM1408" i="1"/>
  <c r="AM1407" i="1"/>
  <c r="AM1406" i="1"/>
  <c r="AM1405" i="1"/>
  <c r="AM1404" i="1"/>
  <c r="AM1403" i="1"/>
  <c r="AM1402" i="1"/>
  <c r="AM1401" i="1"/>
  <c r="AM1400" i="1"/>
  <c r="AM1399" i="1"/>
  <c r="AM1398" i="1"/>
  <c r="AM1397" i="1"/>
  <c r="AM1396" i="1"/>
  <c r="AM1395" i="1"/>
  <c r="AM1394" i="1"/>
  <c r="AM1393" i="1"/>
  <c r="AM1392" i="1"/>
  <c r="AM1391" i="1"/>
  <c r="AM1390" i="1"/>
  <c r="AM1389" i="1"/>
  <c r="AM1388" i="1"/>
  <c r="AM1387" i="1"/>
  <c r="AM1385" i="1"/>
  <c r="AM1384" i="1"/>
  <c r="AM1382" i="1"/>
  <c r="AM1381" i="1"/>
  <c r="AM1380" i="1"/>
  <c r="AM1379" i="1"/>
  <c r="AM1378" i="1"/>
  <c r="AM1377" i="1"/>
  <c r="AM1376" i="1"/>
  <c r="AM1375" i="1"/>
  <c r="AM1374" i="1"/>
  <c r="AM1373" i="1"/>
  <c r="AM1372" i="1"/>
  <c r="AM1371" i="1"/>
  <c r="AM1370" i="1"/>
  <c r="AM1369" i="1"/>
  <c r="AM1368" i="1"/>
  <c r="AM1367" i="1"/>
  <c r="AM1366" i="1"/>
  <c r="AM1365" i="1"/>
  <c r="AM1364" i="1"/>
  <c r="AM1363" i="1"/>
  <c r="AM1362" i="1"/>
  <c r="AM1361" i="1"/>
  <c r="AM1360" i="1"/>
  <c r="AM1358" i="1"/>
  <c r="AM1357" i="1"/>
  <c r="AM1356" i="1"/>
  <c r="AM1354" i="1"/>
  <c r="AM1353" i="1"/>
  <c r="AM1352" i="1"/>
  <c r="AM1351" i="1"/>
  <c r="AM1350" i="1"/>
  <c r="AM1348" i="1"/>
  <c r="AM1347" i="1"/>
  <c r="AM1346" i="1"/>
  <c r="AM1344" i="1"/>
  <c r="AM1343" i="1"/>
  <c r="AM1342" i="1"/>
  <c r="AM1341" i="1"/>
  <c r="AM1339" i="1"/>
  <c r="AM1338" i="1"/>
  <c r="AM1337" i="1"/>
  <c r="AM1335" i="1"/>
  <c r="AM1334" i="1"/>
  <c r="AM1333" i="1"/>
  <c r="AM1332" i="1"/>
  <c r="AM1331" i="1"/>
  <c r="AM1330" i="1"/>
  <c r="AM1329" i="1"/>
  <c r="AM1328" i="1"/>
  <c r="AM1327" i="1"/>
  <c r="AM1326" i="1"/>
  <c r="AM1325" i="1"/>
  <c r="AM1324" i="1"/>
  <c r="AM1323" i="1"/>
  <c r="AM1322" i="1"/>
  <c r="AM1321" i="1"/>
  <c r="AM1320" i="1"/>
  <c r="AM1319" i="1"/>
  <c r="AM1318" i="1"/>
  <c r="AM1317" i="1"/>
  <c r="AM1316" i="1"/>
  <c r="AM1315" i="1"/>
  <c r="AM1314" i="1"/>
  <c r="AM1313" i="1"/>
  <c r="AM1312" i="1"/>
  <c r="AM1311" i="1"/>
  <c r="AM1310" i="1"/>
  <c r="AM1309" i="1"/>
  <c r="AM1308" i="1"/>
  <c r="AM1307" i="1"/>
  <c r="AM1306" i="1"/>
  <c r="AM1305" i="1"/>
  <c r="AM1304" i="1"/>
  <c r="AM1303" i="1"/>
  <c r="AM1302" i="1"/>
  <c r="AM1301" i="1"/>
  <c r="AM1300" i="1"/>
  <c r="AM1299" i="1"/>
  <c r="AM1298" i="1"/>
  <c r="AM1297" i="1"/>
  <c r="AM1296" i="1"/>
  <c r="AM1295" i="1"/>
  <c r="AM1294" i="1"/>
  <c r="AM1293" i="1"/>
  <c r="AM1292" i="1"/>
  <c r="AM1291" i="1"/>
  <c r="AM1290" i="1"/>
  <c r="AM1289" i="1"/>
  <c r="AM1288" i="1"/>
  <c r="AM1287" i="1"/>
  <c r="AM1286" i="1"/>
  <c r="AM1285" i="1"/>
  <c r="AM1284" i="1"/>
  <c r="AM1283" i="1"/>
  <c r="AM1282" i="1"/>
  <c r="AM1281" i="1"/>
  <c r="AM1280" i="1"/>
  <c r="AM1279" i="1"/>
  <c r="AM1278" i="1"/>
  <c r="AM1277" i="1"/>
  <c r="AM1276" i="1"/>
  <c r="AM1275" i="1"/>
  <c r="AM1274" i="1"/>
  <c r="AM1273" i="1"/>
  <c r="AM1272" i="1"/>
  <c r="AM1271" i="1"/>
  <c r="AM1270" i="1"/>
  <c r="AM1269" i="1"/>
  <c r="AM1268" i="1"/>
  <c r="AM1267" i="1"/>
  <c r="AM1266" i="1"/>
  <c r="AM1265" i="1"/>
  <c r="AM1264" i="1"/>
  <c r="AM1263" i="1"/>
  <c r="AM1262" i="1"/>
  <c r="AM1261" i="1"/>
  <c r="AM1260" i="1"/>
  <c r="AM1259" i="1"/>
  <c r="AM1258" i="1"/>
  <c r="AM1257" i="1"/>
  <c r="AM1256" i="1"/>
  <c r="AM1255" i="1"/>
  <c r="AM1254" i="1"/>
  <c r="AM1253" i="1"/>
  <c r="AM1252" i="1"/>
  <c r="AM1251" i="1"/>
  <c r="AM1250" i="1"/>
  <c r="AM1249" i="1"/>
  <c r="AM1248" i="1"/>
  <c r="AM1247" i="1"/>
  <c r="AM1246" i="1"/>
  <c r="AM1245" i="1"/>
  <c r="AM1244" i="1"/>
  <c r="AM1243" i="1"/>
  <c r="AM1242" i="1"/>
  <c r="AM1241" i="1"/>
  <c r="AM1240" i="1"/>
  <c r="AM1239" i="1"/>
  <c r="AM1238" i="1"/>
  <c r="AM1237" i="1"/>
  <c r="AM1236" i="1"/>
  <c r="AM1235" i="1"/>
  <c r="AM1232" i="1"/>
  <c r="AM1230" i="1"/>
  <c r="AM1226" i="1"/>
  <c r="AM1224" i="1"/>
  <c r="AM1223" i="1"/>
  <c r="AM1222" i="1"/>
  <c r="AM1221" i="1"/>
  <c r="AM1220" i="1"/>
  <c r="AM1219" i="1"/>
  <c r="AM1218" i="1"/>
  <c r="AM1217" i="1"/>
  <c r="AM1216" i="1"/>
  <c r="AM1215" i="1"/>
  <c r="AM1214" i="1"/>
  <c r="AM1213" i="1"/>
  <c r="AM1212" i="1"/>
  <c r="AM1211" i="1"/>
  <c r="AM1210" i="1"/>
  <c r="AM1209" i="1"/>
  <c r="AM1208" i="1"/>
  <c r="AM1207" i="1"/>
  <c r="AM1206" i="1"/>
  <c r="AM1205" i="1"/>
  <c r="AM1204" i="1"/>
  <c r="AM1203" i="1"/>
  <c r="AM1202" i="1"/>
  <c r="AM1201" i="1"/>
  <c r="AM1200" i="1"/>
  <c r="AM1199" i="1"/>
  <c r="AM1198" i="1"/>
  <c r="AM1197" i="1"/>
  <c r="AM1196" i="1"/>
  <c r="AM1195" i="1"/>
  <c r="AM1194" i="1"/>
  <c r="AM1193" i="1"/>
  <c r="AM1192" i="1"/>
  <c r="AM1191" i="1"/>
  <c r="AM1190" i="1"/>
  <c r="AM1189" i="1"/>
  <c r="AM1188" i="1"/>
  <c r="AM1187" i="1"/>
  <c r="AM1186" i="1"/>
  <c r="AM1185" i="1"/>
  <c r="AM1184" i="1"/>
  <c r="AM1183" i="1"/>
  <c r="AM1182" i="1"/>
  <c r="AM1181" i="1"/>
  <c r="AM1180" i="1"/>
  <c r="AM1179" i="1"/>
  <c r="AM1178" i="1"/>
  <c r="AM1177" i="1"/>
  <c r="AM1176" i="1"/>
  <c r="AM1175" i="1"/>
  <c r="AM1174" i="1"/>
  <c r="AM1173" i="1"/>
  <c r="AM1172" i="1"/>
  <c r="AM1171" i="1"/>
  <c r="AM1170" i="1"/>
  <c r="AM1169" i="1"/>
  <c r="AM1168" i="1"/>
  <c r="AM1167" i="1"/>
  <c r="AM1166" i="1"/>
  <c r="AM1165" i="1"/>
  <c r="AM1164" i="1"/>
  <c r="AM1163" i="1"/>
  <c r="AM1162" i="1"/>
  <c r="AM1161" i="1"/>
  <c r="AM1160" i="1"/>
  <c r="AM1159" i="1"/>
  <c r="AM1158" i="1"/>
  <c r="AM1157" i="1"/>
  <c r="AM1156" i="1"/>
  <c r="AM1155" i="1"/>
  <c r="AM1154" i="1"/>
  <c r="AM1153" i="1"/>
  <c r="AM1152" i="1"/>
  <c r="AM1151" i="1"/>
  <c r="AM1150" i="1"/>
  <c r="AM1149" i="1"/>
  <c r="AM1148" i="1"/>
  <c r="AM1147" i="1"/>
  <c r="AM1146" i="1"/>
  <c r="AM1145" i="1"/>
  <c r="AM1144" i="1"/>
  <c r="AM1143" i="1"/>
  <c r="AM1142" i="1"/>
  <c r="AM1141" i="1"/>
  <c r="AM1140" i="1"/>
  <c r="AM1139" i="1"/>
  <c r="AM1138" i="1"/>
  <c r="AM1137" i="1"/>
  <c r="AM1136" i="1"/>
  <c r="AM1135" i="1"/>
  <c r="AM1134" i="1"/>
  <c r="AM1133" i="1"/>
  <c r="AM1132" i="1"/>
  <c r="AM1131" i="1"/>
  <c r="AM1130" i="1"/>
  <c r="AM1129" i="1"/>
  <c r="AM1128" i="1"/>
  <c r="AM1127" i="1"/>
  <c r="AM1126" i="1"/>
  <c r="AM1125" i="1"/>
  <c r="AM1124" i="1"/>
  <c r="AM1123" i="1"/>
  <c r="AM1122" i="1"/>
  <c r="AM1121" i="1"/>
  <c r="AM1120" i="1"/>
  <c r="AM1119" i="1"/>
  <c r="AM1118" i="1"/>
  <c r="AM1117" i="1"/>
  <c r="AM1116" i="1"/>
  <c r="AM1115" i="1"/>
  <c r="AM1114" i="1"/>
  <c r="AM1113" i="1"/>
  <c r="AM1112" i="1"/>
  <c r="AM1111" i="1"/>
  <c r="AM1110" i="1"/>
  <c r="AM1109" i="1"/>
  <c r="AM1108" i="1"/>
  <c r="AM1107" i="1"/>
  <c r="AM1106" i="1"/>
  <c r="AM1105" i="1"/>
  <c r="AM1104" i="1"/>
  <c r="AM1103" i="1"/>
  <c r="AM1102" i="1"/>
  <c r="AM1101" i="1"/>
  <c r="AM1100" i="1"/>
  <c r="AM1099" i="1"/>
  <c r="AM1098" i="1"/>
  <c r="AM1097" i="1"/>
  <c r="AM1096" i="1"/>
  <c r="AM1095" i="1"/>
  <c r="AM1094" i="1"/>
  <c r="AM1093" i="1"/>
  <c r="AM1092" i="1"/>
  <c r="AM1091" i="1"/>
  <c r="AM1090" i="1"/>
  <c r="AM1089" i="1"/>
  <c r="AM1088" i="1"/>
  <c r="AM1087" i="1"/>
  <c r="AM1086" i="1"/>
  <c r="AM1085" i="1"/>
  <c r="AM1084" i="1"/>
  <c r="AM1083" i="1"/>
  <c r="AM1082" i="1"/>
  <c r="AM1081" i="1"/>
  <c r="AM1080" i="1"/>
  <c r="AM1079" i="1"/>
  <c r="AM1078" i="1"/>
  <c r="AM1077" i="1"/>
  <c r="AM1076" i="1"/>
  <c r="AM1075" i="1"/>
  <c r="AM1074" i="1"/>
  <c r="AM1073" i="1"/>
  <c r="AM1072" i="1"/>
  <c r="AM1071" i="1"/>
  <c r="AM1070" i="1"/>
  <c r="AM1069" i="1"/>
  <c r="AM1068" i="1"/>
  <c r="AM1067" i="1"/>
  <c r="AM1066" i="1"/>
  <c r="AM1065" i="1"/>
  <c r="AM1063" i="1"/>
  <c r="AM1062" i="1"/>
  <c r="AM1061" i="1"/>
  <c r="AM1060" i="1"/>
  <c r="AM1059" i="1"/>
  <c r="AM1058" i="1"/>
  <c r="AM1057" i="1"/>
  <c r="AM1056" i="1"/>
  <c r="AM1055" i="1"/>
  <c r="AM1054" i="1"/>
  <c r="AM1053" i="1"/>
  <c r="AM1052" i="1"/>
  <c r="AM1051" i="1"/>
  <c r="AM1050" i="1"/>
  <c r="AM1049" i="1"/>
  <c r="AM1048" i="1"/>
  <c r="AM1047" i="1"/>
  <c r="AM1046" i="1"/>
  <c r="AM1045" i="1"/>
  <c r="AM1044" i="1"/>
  <c r="AM1043" i="1"/>
  <c r="AM1042" i="1"/>
  <c r="AM1041" i="1"/>
  <c r="AM1040" i="1"/>
  <c r="AM1039" i="1"/>
  <c r="AM1038" i="1"/>
  <c r="AM1037" i="1"/>
  <c r="AM1036" i="1"/>
  <c r="AM1035" i="1"/>
  <c r="AM1034" i="1"/>
  <c r="AM1033" i="1"/>
  <c r="AM1032" i="1"/>
  <c r="AM1031" i="1"/>
  <c r="AM1030" i="1"/>
  <c r="AM1029" i="1"/>
  <c r="AM1028" i="1"/>
  <c r="AM1027" i="1"/>
  <c r="AM1026" i="1"/>
  <c r="AM1025" i="1"/>
  <c r="AM1024" i="1"/>
  <c r="AM1023" i="1"/>
  <c r="AM1022" i="1"/>
  <c r="AM1021" i="1"/>
  <c r="AM1020" i="1"/>
  <c r="AM1019" i="1"/>
  <c r="AM1018" i="1"/>
  <c r="AM1017" i="1"/>
  <c r="AM1016" i="1"/>
  <c r="AM1015" i="1"/>
  <c r="AM1014" i="1"/>
  <c r="AM1013" i="1"/>
  <c r="AM1012" i="1"/>
  <c r="AM1011" i="1"/>
  <c r="AM1010" i="1"/>
  <c r="AM1009" i="1"/>
  <c r="AM1008" i="1"/>
  <c r="AM1004" i="1"/>
  <c r="AM1003" i="1"/>
  <c r="AM1002" i="1"/>
  <c r="AM1001" i="1"/>
  <c r="AM1000" i="1"/>
  <c r="AM999" i="1"/>
  <c r="AM998" i="1"/>
  <c r="AM997" i="1"/>
  <c r="AM996" i="1"/>
  <c r="AM995" i="1"/>
  <c r="AM994" i="1"/>
  <c r="AM993" i="1"/>
  <c r="AM992" i="1"/>
  <c r="AM991" i="1"/>
  <c r="AM990" i="1"/>
  <c r="AM989" i="1"/>
  <c r="AM988" i="1"/>
  <c r="AM987" i="1"/>
  <c r="AM986" i="1"/>
  <c r="AM985" i="1"/>
  <c r="AM984" i="1"/>
  <c r="AM983" i="1"/>
  <c r="AM982" i="1"/>
  <c r="AM981" i="1"/>
  <c r="AM980" i="1"/>
  <c r="AM979" i="1"/>
  <c r="AM978" i="1"/>
  <c r="AM977" i="1"/>
  <c r="AM976" i="1"/>
  <c r="AM975" i="1"/>
  <c r="AM974" i="1"/>
  <c r="AM973" i="1"/>
  <c r="AM972" i="1"/>
  <c r="AM971" i="1"/>
  <c r="AM970" i="1"/>
  <c r="AM969" i="1"/>
  <c r="AM968" i="1"/>
  <c r="AM967" i="1"/>
  <c r="AM966" i="1"/>
  <c r="AM965" i="1"/>
  <c r="AM964" i="1"/>
  <c r="AM963" i="1"/>
  <c r="AM962" i="1"/>
  <c r="AM961" i="1"/>
  <c r="AM960" i="1"/>
  <c r="AM959" i="1"/>
  <c r="AM958" i="1"/>
  <c r="AM957" i="1"/>
  <c r="AM956" i="1"/>
  <c r="AM955" i="1"/>
  <c r="AM954" i="1"/>
  <c r="AM953" i="1"/>
  <c r="AM952" i="1"/>
  <c r="AM951" i="1"/>
  <c r="AM950" i="1"/>
  <c r="AM949" i="1"/>
  <c r="AM948" i="1"/>
  <c r="AM947" i="1"/>
  <c r="AM946" i="1"/>
  <c r="AM945" i="1"/>
  <c r="AM944" i="1"/>
  <c r="AM943" i="1"/>
  <c r="AM942" i="1"/>
  <c r="AM941" i="1"/>
  <c r="AM940" i="1"/>
  <c r="AM939" i="1"/>
  <c r="AM938" i="1"/>
  <c r="AM937" i="1"/>
  <c r="AM936" i="1"/>
  <c r="AM935" i="1"/>
  <c r="AM934" i="1"/>
  <c r="AM933" i="1"/>
  <c r="AM932" i="1"/>
  <c r="AM931" i="1"/>
  <c r="AM930" i="1"/>
  <c r="AM929" i="1"/>
  <c r="AM928" i="1"/>
  <c r="AM927" i="1"/>
  <c r="AM926" i="1"/>
  <c r="AM925" i="1"/>
  <c r="AM924" i="1"/>
  <c r="AM923" i="1"/>
  <c r="AM922" i="1"/>
  <c r="AM921" i="1"/>
  <c r="AM920" i="1"/>
  <c r="AM919" i="1"/>
  <c r="AM918" i="1"/>
  <c r="AM917" i="1"/>
  <c r="AM916" i="1"/>
  <c r="AM915" i="1"/>
  <c r="AM914" i="1"/>
  <c r="AM913" i="1"/>
  <c r="AM912" i="1"/>
  <c r="AM911" i="1"/>
  <c r="AM910" i="1"/>
  <c r="AM909" i="1"/>
  <c r="AM908" i="1"/>
  <c r="AM907" i="1"/>
  <c r="AM906" i="1"/>
  <c r="AM905" i="1"/>
  <c r="AM904" i="1"/>
  <c r="AM903" i="1"/>
  <c r="AM902" i="1"/>
  <c r="AM901" i="1"/>
  <c r="AM900" i="1"/>
  <c r="AM899" i="1"/>
  <c r="AM898" i="1"/>
  <c r="AM897" i="1"/>
  <c r="AM896" i="1"/>
  <c r="AM895" i="1"/>
  <c r="AM894" i="1"/>
  <c r="AM893" i="1"/>
  <c r="AM892" i="1"/>
  <c r="AM891" i="1"/>
  <c r="AM890" i="1"/>
  <c r="AM889" i="1"/>
  <c r="AM888" i="1"/>
  <c r="AM887" i="1"/>
  <c r="AM886" i="1"/>
  <c r="AM885" i="1"/>
  <c r="AM884" i="1"/>
  <c r="AM883" i="1"/>
  <c r="AM882" i="1"/>
  <c r="AM881" i="1"/>
  <c r="AM880" i="1"/>
  <c r="AM879" i="1"/>
  <c r="AM878" i="1"/>
  <c r="AM877" i="1"/>
  <c r="AM876" i="1"/>
  <c r="AM875" i="1"/>
  <c r="AM874" i="1"/>
  <c r="AM873" i="1"/>
  <c r="AM872" i="1"/>
  <c r="AM871" i="1"/>
  <c r="AM870" i="1"/>
  <c r="AM869" i="1"/>
  <c r="AM868" i="1"/>
  <c r="AM867" i="1"/>
  <c r="AM866" i="1"/>
  <c r="AM865" i="1"/>
  <c r="AM864" i="1"/>
  <c r="AM863" i="1"/>
  <c r="AM862" i="1"/>
  <c r="AM861" i="1"/>
  <c r="AM860" i="1"/>
  <c r="AM859" i="1"/>
  <c r="AM858" i="1"/>
  <c r="AM857" i="1"/>
  <c r="AM856" i="1"/>
  <c r="AM855" i="1"/>
  <c r="AM854" i="1"/>
  <c r="AM853" i="1"/>
  <c r="AM852" i="1"/>
  <c r="AM851" i="1"/>
  <c r="AM850" i="1"/>
  <c r="AM848" i="1"/>
  <c r="AM847" i="1"/>
  <c r="AM846" i="1"/>
  <c r="AM845" i="1"/>
  <c r="AM844" i="1"/>
  <c r="AM843" i="1"/>
  <c r="AM842" i="1"/>
  <c r="AM841" i="1"/>
  <c r="AM840" i="1"/>
  <c r="AM839" i="1"/>
  <c r="AM838" i="1"/>
  <c r="AM837" i="1"/>
  <c r="AM836" i="1"/>
  <c r="AM835" i="1"/>
  <c r="AM834" i="1"/>
  <c r="AM833" i="1"/>
  <c r="AM832" i="1"/>
  <c r="AM831" i="1"/>
  <c r="AM830" i="1"/>
  <c r="AM829" i="1"/>
  <c r="AM828" i="1"/>
  <c r="AM827" i="1"/>
  <c r="AM826" i="1"/>
  <c r="AM825" i="1"/>
  <c r="AM824" i="1"/>
  <c r="AM823" i="1"/>
  <c r="AM822" i="1"/>
  <c r="AM821" i="1"/>
  <c r="AM820" i="1"/>
  <c r="AM819" i="1"/>
  <c r="AM818" i="1"/>
  <c r="AM817" i="1"/>
  <c r="AM816" i="1"/>
  <c r="AM815" i="1"/>
  <c r="AM814" i="1"/>
  <c r="AM813" i="1"/>
  <c r="AM812" i="1"/>
  <c r="AM811" i="1"/>
  <c r="AM810" i="1"/>
  <c r="AM809" i="1"/>
  <c r="AM808" i="1"/>
  <c r="AM807" i="1"/>
  <c r="AM806" i="1"/>
  <c r="AM805" i="1"/>
  <c r="AM804" i="1"/>
  <c r="AM803" i="1"/>
  <c r="AM802" i="1"/>
  <c r="AM801" i="1"/>
  <c r="AM800" i="1"/>
  <c r="AM799" i="1"/>
  <c r="AM798" i="1"/>
  <c r="AM797" i="1"/>
  <c r="AM796" i="1"/>
  <c r="AM795" i="1"/>
  <c r="AM794" i="1"/>
  <c r="AM793" i="1"/>
  <c r="AM792" i="1"/>
  <c r="AM791" i="1"/>
  <c r="AM790" i="1"/>
  <c r="AM789" i="1"/>
  <c r="AM788" i="1"/>
  <c r="AM787" i="1"/>
  <c r="AM786" i="1"/>
  <c r="AM785" i="1"/>
  <c r="AM784" i="1"/>
  <c r="AM783" i="1"/>
  <c r="AM782" i="1"/>
  <c r="AM781" i="1"/>
  <c r="AM780" i="1"/>
  <c r="AM779" i="1"/>
  <c r="AM778" i="1"/>
  <c r="AM777" i="1"/>
  <c r="AM776" i="1"/>
  <c r="AM775" i="1"/>
  <c r="AM774" i="1"/>
  <c r="AM773" i="1"/>
  <c r="AM772" i="1"/>
  <c r="AM771" i="1"/>
  <c r="AM770" i="1"/>
  <c r="AM769" i="1"/>
  <c r="AM768" i="1"/>
  <c r="AM767" i="1"/>
  <c r="AM766" i="1"/>
  <c r="AM765" i="1"/>
  <c r="AM764" i="1"/>
  <c r="AM763" i="1"/>
  <c r="AM762" i="1"/>
  <c r="AM761" i="1"/>
  <c r="AM760" i="1"/>
  <c r="AM759" i="1"/>
  <c r="AM758" i="1"/>
  <c r="AM757" i="1"/>
  <c r="AM756" i="1"/>
  <c r="AM755" i="1"/>
  <c r="AM754" i="1"/>
  <c r="AM753" i="1"/>
  <c r="AM752" i="1"/>
  <c r="AM751" i="1"/>
  <c r="AM750" i="1"/>
  <c r="AM749" i="1"/>
  <c r="AM748" i="1"/>
  <c r="AM747" i="1"/>
  <c r="AM746" i="1"/>
  <c r="AM743" i="1"/>
  <c r="AM742" i="1"/>
  <c r="AM741" i="1"/>
  <c r="AM740" i="1"/>
  <c r="AM739" i="1"/>
  <c r="AM738" i="1"/>
  <c r="AM736" i="1"/>
  <c r="AM735" i="1"/>
  <c r="AM734" i="1"/>
  <c r="AM733" i="1"/>
  <c r="AM732" i="1"/>
  <c r="AM731" i="1"/>
  <c r="AM730" i="1"/>
  <c r="AM729" i="1"/>
  <c r="AM728" i="1"/>
  <c r="AM727" i="1"/>
  <c r="AM726" i="1"/>
  <c r="AM725" i="1"/>
  <c r="AM724" i="1"/>
  <c r="AM723" i="1"/>
  <c r="AM722" i="1"/>
  <c r="AM721" i="1"/>
  <c r="AM720" i="1"/>
  <c r="AM719" i="1"/>
  <c r="AM718" i="1"/>
  <c r="AM717" i="1"/>
  <c r="AM716" i="1"/>
  <c r="AM715" i="1"/>
  <c r="AM714" i="1"/>
  <c r="AM713" i="1"/>
  <c r="AM712" i="1"/>
  <c r="AM711" i="1"/>
  <c r="AM710" i="1"/>
  <c r="AM709" i="1"/>
  <c r="AM708" i="1"/>
  <c r="AM707" i="1"/>
  <c r="AM706" i="1"/>
  <c r="AM705" i="1"/>
  <c r="AM704" i="1"/>
  <c r="AM703" i="1"/>
  <c r="AM702" i="1"/>
  <c r="AM701" i="1"/>
  <c r="AM700" i="1"/>
  <c r="AM699" i="1"/>
  <c r="AM698" i="1"/>
  <c r="AM697" i="1"/>
  <c r="AM696" i="1"/>
  <c r="AM695" i="1"/>
  <c r="AM694" i="1"/>
  <c r="AM693" i="1"/>
  <c r="AM692" i="1"/>
  <c r="AM691" i="1"/>
  <c r="AM690" i="1"/>
  <c r="AM689" i="1"/>
  <c r="AM688" i="1"/>
  <c r="AM687" i="1"/>
  <c r="AM686" i="1"/>
  <c r="AM685" i="1"/>
  <c r="AM684" i="1"/>
  <c r="AM683" i="1"/>
  <c r="AM682" i="1"/>
  <c r="AM681" i="1"/>
  <c r="AM680" i="1"/>
  <c r="AM679" i="1"/>
  <c r="AM678" i="1"/>
  <c r="AM677" i="1"/>
  <c r="AM676" i="1"/>
  <c r="AM675" i="1"/>
  <c r="AM674" i="1"/>
  <c r="AM673" i="1"/>
  <c r="AM672" i="1"/>
  <c r="AM671" i="1"/>
  <c r="AM669" i="1"/>
  <c r="AM668" i="1"/>
  <c r="AM667" i="1"/>
  <c r="AM666" i="1"/>
  <c r="AM665" i="1"/>
  <c r="AM664" i="1"/>
  <c r="AM663" i="1"/>
  <c r="AM662" i="1"/>
  <c r="AM661" i="1"/>
  <c r="AM660" i="1"/>
  <c r="AM655" i="1"/>
  <c r="AM654" i="1"/>
  <c r="AM653" i="1"/>
  <c r="AM652" i="1"/>
  <c r="AM651" i="1"/>
  <c r="AM650" i="1"/>
  <c r="AM649" i="1"/>
  <c r="AM648" i="1"/>
  <c r="AM647" i="1"/>
  <c r="AM646" i="1"/>
  <c r="AM645" i="1"/>
  <c r="AM644" i="1"/>
  <c r="AM643" i="1"/>
  <c r="AM642" i="1"/>
  <c r="AM641" i="1"/>
  <c r="AM640" i="1"/>
  <c r="AM639" i="1"/>
  <c r="AM638" i="1"/>
  <c r="AM637" i="1"/>
  <c r="AM636" i="1"/>
  <c r="AM635" i="1"/>
  <c r="AM634" i="1"/>
  <c r="AM633" i="1"/>
  <c r="AM632" i="1"/>
  <c r="AM631" i="1"/>
  <c r="AM630" i="1"/>
  <c r="AM629" i="1"/>
  <c r="AM628" i="1"/>
  <c r="AM627" i="1"/>
  <c r="AM626" i="1"/>
  <c r="AM625" i="1"/>
  <c r="AM624" i="1"/>
  <c r="AM623" i="1"/>
  <c r="AM622" i="1"/>
  <c r="AM621" i="1"/>
  <c r="AM620" i="1"/>
  <c r="AM618" i="1"/>
  <c r="AM617" i="1"/>
  <c r="AM616" i="1"/>
  <c r="AM615" i="1"/>
  <c r="AM614" i="1"/>
  <c r="AM613" i="1"/>
  <c r="AM612" i="1"/>
  <c r="AM611" i="1"/>
  <c r="AM610" i="1"/>
  <c r="AM609" i="1"/>
  <c r="AM608" i="1"/>
  <c r="AM607" i="1"/>
  <c r="AM606" i="1"/>
  <c r="AM605" i="1"/>
  <c r="AM603" i="1"/>
  <c r="AM602" i="1"/>
  <c r="AM601" i="1"/>
  <c r="AM600" i="1"/>
  <c r="AM599" i="1"/>
  <c r="AM598" i="1"/>
  <c r="AM597" i="1"/>
  <c r="AM596" i="1"/>
  <c r="AM594" i="1"/>
  <c r="AM593" i="1"/>
  <c r="AM592" i="1"/>
  <c r="AM591" i="1"/>
  <c r="AM590" i="1"/>
  <c r="AM589" i="1"/>
  <c r="AM588" i="1"/>
  <c r="AM587" i="1"/>
  <c r="AM586" i="1"/>
  <c r="AM585" i="1"/>
  <c r="AM584" i="1"/>
  <c r="AM583" i="1"/>
  <c r="AM582" i="1"/>
  <c r="AM581" i="1"/>
  <c r="AM580" i="1"/>
  <c r="AM579" i="1"/>
  <c r="AM578" i="1"/>
  <c r="AM577" i="1"/>
  <c r="AM576" i="1"/>
  <c r="AM575" i="1"/>
  <c r="AM574" i="1"/>
  <c r="AM573" i="1"/>
  <c r="AM572" i="1"/>
  <c r="AM571" i="1"/>
  <c r="AM570" i="1"/>
  <c r="AM569" i="1"/>
  <c r="AM568" i="1"/>
  <c r="AM567" i="1"/>
  <c r="AM566" i="1"/>
  <c r="AM565" i="1"/>
  <c r="AM564" i="1"/>
  <c r="AM563" i="1"/>
  <c r="AM562" i="1"/>
  <c r="AM561" i="1"/>
  <c r="AM560" i="1"/>
  <c r="AM559" i="1"/>
  <c r="AM558" i="1"/>
  <c r="AM557" i="1"/>
  <c r="AM556" i="1"/>
  <c r="AM555" i="1"/>
  <c r="AM554" i="1"/>
  <c r="AM553" i="1"/>
  <c r="AM552" i="1"/>
  <c r="AM551" i="1"/>
  <c r="AM550" i="1"/>
  <c r="AM549" i="1"/>
  <c r="AM548" i="1"/>
  <c r="AM547" i="1"/>
  <c r="AM546" i="1"/>
  <c r="AM545" i="1"/>
  <c r="AM544" i="1"/>
  <c r="AM543" i="1"/>
  <c r="AM542" i="1"/>
  <c r="AM541" i="1"/>
  <c r="AM540" i="1"/>
  <c r="AM539" i="1"/>
  <c r="AM538" i="1"/>
  <c r="AM537" i="1"/>
  <c r="AM536" i="1"/>
  <c r="AM535" i="1"/>
  <c r="AM534" i="1"/>
  <c r="AM533" i="1"/>
  <c r="AM532" i="1"/>
  <c r="AM531" i="1"/>
  <c r="AM530" i="1"/>
  <c r="AM529" i="1"/>
  <c r="AM528" i="1"/>
  <c r="AM527" i="1"/>
  <c r="AM525" i="1"/>
  <c r="AM524" i="1"/>
  <c r="AM523" i="1"/>
  <c r="AM522" i="1"/>
  <c r="AM521" i="1"/>
  <c r="AM520" i="1"/>
  <c r="AM519" i="1"/>
  <c r="AM518" i="1"/>
  <c r="AM517" i="1"/>
  <c r="AM516" i="1"/>
  <c r="AM515" i="1"/>
  <c r="AM514" i="1"/>
  <c r="AM513" i="1"/>
  <c r="AM512" i="1"/>
  <c r="AM511" i="1"/>
  <c r="AM509" i="1"/>
  <c r="AM508" i="1"/>
  <c r="AM507" i="1"/>
  <c r="AM506" i="1"/>
  <c r="AM505" i="1"/>
  <c r="AM504" i="1"/>
  <c r="AM503" i="1"/>
  <c r="AM502" i="1"/>
  <c r="AM501" i="1"/>
  <c r="AM500" i="1"/>
  <c r="AM499" i="1"/>
  <c r="AM498" i="1"/>
  <c r="AM497" i="1"/>
  <c r="AM496" i="1"/>
  <c r="AM495" i="1"/>
  <c r="AM494" i="1"/>
  <c r="AM493" i="1"/>
  <c r="AM492" i="1"/>
  <c r="AM491" i="1"/>
  <c r="AM490" i="1"/>
  <c r="AM489" i="1"/>
  <c r="AM488" i="1"/>
  <c r="AM487" i="1"/>
  <c r="AM486" i="1"/>
  <c r="AM485" i="1"/>
  <c r="AM484" i="1"/>
  <c r="AM483" i="1"/>
  <c r="AM482" i="1"/>
  <c r="AM476" i="1"/>
  <c r="AM475" i="1"/>
  <c r="AM473" i="1"/>
  <c r="AM472" i="1"/>
  <c r="AM471" i="1"/>
  <c r="AM470" i="1"/>
  <c r="AM469" i="1"/>
  <c r="AM468" i="1"/>
  <c r="AM467" i="1"/>
  <c r="AM466" i="1"/>
  <c r="AM465" i="1"/>
  <c r="AM464" i="1"/>
  <c r="AM463" i="1"/>
  <c r="AM462" i="1"/>
  <c r="AM461" i="1"/>
  <c r="AM458" i="1"/>
  <c r="AM457" i="1"/>
  <c r="AM456" i="1"/>
  <c r="AM455" i="1"/>
  <c r="AM454" i="1"/>
  <c r="AM451" i="1"/>
  <c r="AM450" i="1"/>
  <c r="AM449" i="1"/>
  <c r="AM443" i="1"/>
  <c r="AM442" i="1"/>
  <c r="AM441" i="1"/>
  <c r="AM440" i="1"/>
  <c r="AM439" i="1"/>
  <c r="AM438" i="1"/>
  <c r="AM437" i="1"/>
  <c r="AM436" i="1"/>
  <c r="AM433" i="1"/>
  <c r="AM432" i="1"/>
  <c r="AM431" i="1"/>
  <c r="AM430" i="1"/>
  <c r="AM429" i="1"/>
  <c r="AM428" i="1"/>
  <c r="AM426" i="1"/>
  <c r="AM425" i="1"/>
  <c r="AM424" i="1"/>
  <c r="AM423" i="1"/>
  <c r="AM422" i="1"/>
  <c r="AM421" i="1"/>
  <c r="AM420" i="1"/>
  <c r="AM419" i="1"/>
  <c r="AM418" i="1"/>
  <c r="AM417" i="1"/>
  <c r="AM416" i="1"/>
  <c r="AM414" i="1"/>
  <c r="AM413" i="1"/>
  <c r="AM412" i="1"/>
  <c r="AM411" i="1"/>
  <c r="AM410" i="1"/>
  <c r="AM409" i="1"/>
  <c r="AM408" i="1"/>
  <c r="AM407" i="1"/>
  <c r="AM406" i="1"/>
  <c r="AM405" i="1"/>
  <c r="AM404" i="1"/>
  <c r="AM403" i="1"/>
  <c r="AM402" i="1"/>
  <c r="AM401" i="1"/>
  <c r="AM400" i="1"/>
  <c r="AM399" i="1"/>
  <c r="AM398" i="1"/>
  <c r="AM397" i="1"/>
  <c r="AM396" i="1"/>
  <c r="AM395" i="1"/>
  <c r="AM394" i="1"/>
  <c r="AM393" i="1"/>
  <c r="AM392" i="1"/>
  <c r="AM391" i="1"/>
  <c r="AM390" i="1"/>
  <c r="AM389" i="1"/>
  <c r="AM388" i="1"/>
  <c r="AM387" i="1"/>
  <c r="AM386" i="1"/>
  <c r="AM385" i="1"/>
  <c r="AM383" i="1"/>
  <c r="AM382" i="1"/>
  <c r="AM381" i="1"/>
  <c r="AM380" i="1"/>
  <c r="AM379" i="1"/>
  <c r="AM378" i="1"/>
  <c r="AM377" i="1"/>
  <c r="AM376" i="1"/>
  <c r="AM375" i="1"/>
  <c r="AM374" i="1"/>
  <c r="AM373" i="1"/>
  <c r="AM372" i="1"/>
  <c r="AM371" i="1"/>
  <c r="AM370" i="1"/>
  <c r="AM369" i="1"/>
  <c r="AM368" i="1"/>
  <c r="AM367" i="1"/>
  <c r="AM366" i="1"/>
  <c r="AM365" i="1"/>
  <c r="AM364" i="1"/>
  <c r="AM363" i="1"/>
  <c r="AM362" i="1"/>
  <c r="AM361" i="1"/>
  <c r="AM360" i="1"/>
  <c r="AM359" i="1"/>
  <c r="AM358" i="1"/>
  <c r="AM357" i="1"/>
  <c r="AM356" i="1"/>
  <c r="AM355" i="1"/>
  <c r="AM354" i="1"/>
  <c r="AM353" i="1"/>
  <c r="AM352" i="1"/>
  <c r="AM351" i="1"/>
  <c r="AM349" i="1"/>
  <c r="AM348" i="1"/>
  <c r="AM346" i="1"/>
  <c r="AM345" i="1"/>
  <c r="AM344" i="1"/>
  <c r="AM343" i="1"/>
  <c r="AM342" i="1"/>
  <c r="AM341" i="1"/>
  <c r="AM340" i="1"/>
  <c r="AM339" i="1"/>
  <c r="AM338" i="1"/>
  <c r="AM337" i="1"/>
  <c r="AM336" i="1"/>
  <c r="AM335" i="1"/>
  <c r="AM334" i="1"/>
  <c r="AM333" i="1"/>
  <c r="AM332" i="1"/>
  <c r="AM331" i="1"/>
  <c r="AM330" i="1"/>
  <c r="AM329" i="1"/>
  <c r="AM328" i="1"/>
  <c r="AM327" i="1"/>
  <c r="AM326" i="1"/>
  <c r="AM325" i="1"/>
  <c r="AM324" i="1"/>
  <c r="AM323" i="1"/>
  <c r="AM322" i="1"/>
  <c r="AM321" i="1"/>
  <c r="AM320" i="1"/>
  <c r="AM319" i="1"/>
  <c r="AM318" i="1"/>
  <c r="AM317" i="1"/>
  <c r="AM316" i="1"/>
  <c r="AM315" i="1"/>
  <c r="AM314" i="1"/>
  <c r="AM313" i="1"/>
  <c r="AM312" i="1"/>
  <c r="AM311" i="1"/>
  <c r="AM310" i="1"/>
  <c r="AM309" i="1"/>
  <c r="AM308" i="1"/>
  <c r="AM307" i="1"/>
  <c r="AM306" i="1"/>
  <c r="AM305" i="1"/>
  <c r="AM304" i="1"/>
  <c r="AM303" i="1"/>
  <c r="AM301" i="1"/>
  <c r="AM300" i="1"/>
  <c r="AM299" i="1"/>
  <c r="AM298" i="1"/>
  <c r="AM297" i="1"/>
  <c r="AM296" i="1"/>
  <c r="AM295" i="1"/>
  <c r="AM294" i="1"/>
  <c r="AM293" i="1"/>
  <c r="AM292" i="1"/>
  <c r="AM291" i="1"/>
  <c r="AM290" i="1"/>
  <c r="AM289" i="1"/>
  <c r="AM288" i="1"/>
  <c r="AM287" i="1"/>
  <c r="AM286" i="1"/>
  <c r="AM285" i="1"/>
  <c r="AM284" i="1"/>
  <c r="AM283" i="1"/>
  <c r="AM282" i="1"/>
  <c r="AM281" i="1"/>
  <c r="AM280" i="1"/>
  <c r="AM279" i="1"/>
  <c r="AM278" i="1"/>
  <c r="AM277" i="1"/>
  <c r="AM276" i="1"/>
  <c r="AM275" i="1"/>
  <c r="AM274" i="1"/>
  <c r="AM273" i="1"/>
  <c r="AM272" i="1"/>
  <c r="AM271" i="1"/>
  <c r="AM270" i="1"/>
  <c r="AM269" i="1"/>
  <c r="AM268" i="1"/>
  <c r="AM267" i="1"/>
  <c r="AM266" i="1"/>
  <c r="AM265" i="1"/>
  <c r="AM264" i="1"/>
  <c r="AM263" i="1"/>
  <c r="AM262" i="1"/>
  <c r="AM261" i="1"/>
  <c r="AM260" i="1"/>
  <c r="AM259" i="1"/>
  <c r="AM258" i="1"/>
  <c r="AM257" i="1"/>
  <c r="AM256" i="1"/>
  <c r="AM255" i="1"/>
  <c r="AM254" i="1"/>
  <c r="AM253" i="1"/>
  <c r="AM252" i="1"/>
  <c r="AM251" i="1"/>
  <c r="AM250" i="1"/>
  <c r="AM249" i="1"/>
  <c r="AM248" i="1"/>
  <c r="AM247" i="1"/>
  <c r="AM246" i="1"/>
  <c r="AM245" i="1"/>
  <c r="AM244" i="1"/>
  <c r="AM243" i="1"/>
  <c r="AM242" i="1"/>
  <c r="AM241" i="1"/>
  <c r="AM240" i="1"/>
  <c r="AM239" i="1"/>
  <c r="AM238" i="1"/>
  <c r="AM237" i="1"/>
  <c r="AM236" i="1"/>
  <c r="AM235" i="1"/>
  <c r="AM234" i="1"/>
  <c r="AM233" i="1"/>
  <c r="AM232" i="1"/>
  <c r="AM231" i="1"/>
  <c r="AM230" i="1"/>
  <c r="AM229" i="1"/>
  <c r="AM228" i="1"/>
  <c r="AM227" i="1"/>
  <c r="AM226" i="1"/>
  <c r="AM225" i="1"/>
  <c r="AM224" i="1"/>
  <c r="AM223" i="1"/>
  <c r="AM222" i="1"/>
  <c r="AM221" i="1"/>
  <c r="AM220" i="1"/>
  <c r="AM219" i="1"/>
  <c r="AM217" i="1"/>
  <c r="AM216" i="1"/>
  <c r="AM215" i="1"/>
  <c r="AM214" i="1"/>
  <c r="AM213" i="1"/>
  <c r="AM212" i="1"/>
  <c r="AM211" i="1"/>
  <c r="AM210" i="1"/>
  <c r="AM209" i="1"/>
  <c r="AM208" i="1"/>
  <c r="AM206" i="1"/>
  <c r="AM205" i="1"/>
  <c r="AM204" i="1"/>
  <c r="AM203" i="1"/>
  <c r="AM202" i="1"/>
  <c r="AM201" i="1"/>
  <c r="AM200" i="1"/>
  <c r="AM199" i="1"/>
  <c r="AM198" i="1"/>
  <c r="AM197" i="1"/>
  <c r="AM196" i="1"/>
  <c r="AM195" i="1"/>
  <c r="AM194" i="1"/>
  <c r="AM193" i="1"/>
  <c r="AM192" i="1"/>
  <c r="AM191" i="1"/>
  <c r="AM190" i="1"/>
  <c r="AM189" i="1"/>
  <c r="AM188" i="1"/>
  <c r="AM187" i="1"/>
  <c r="AM186" i="1"/>
  <c r="AM185" i="1"/>
  <c r="AM184" i="1"/>
  <c r="AM183" i="1"/>
  <c r="AM182" i="1"/>
  <c r="AM181" i="1"/>
  <c r="AM180" i="1"/>
  <c r="AM179" i="1"/>
  <c r="AM178" i="1"/>
  <c r="AM177" i="1"/>
  <c r="AM176" i="1"/>
  <c r="AM175" i="1"/>
  <c r="AM174" i="1"/>
  <c r="AM173" i="1"/>
  <c r="AM172" i="1"/>
  <c r="AM171" i="1"/>
  <c r="AM170" i="1"/>
  <c r="AM169" i="1"/>
  <c r="AM167" i="1"/>
  <c r="AM166" i="1"/>
  <c r="AM165" i="1"/>
  <c r="AM164" i="1"/>
  <c r="AM163" i="1"/>
  <c r="AM162" i="1"/>
  <c r="AM161" i="1"/>
  <c r="AM160" i="1"/>
  <c r="AM159" i="1"/>
  <c r="AM158" i="1"/>
  <c r="AM157" i="1"/>
  <c r="AM156" i="1"/>
  <c r="AM155" i="1"/>
  <c r="AM154" i="1"/>
  <c r="AM153" i="1"/>
  <c r="AM152" i="1"/>
  <c r="AM151" i="1"/>
  <c r="AM150" i="1"/>
  <c r="AM149" i="1"/>
  <c r="AM148" i="1"/>
  <c r="AM147" i="1"/>
  <c r="AM146" i="1"/>
  <c r="AM145" i="1"/>
  <c r="AM144" i="1"/>
  <c r="AM143" i="1"/>
  <c r="AM142" i="1"/>
  <c r="AM141" i="1"/>
  <c r="AM140" i="1"/>
  <c r="AM139" i="1"/>
  <c r="AM138" i="1"/>
  <c r="AM137" i="1"/>
  <c r="AM136" i="1"/>
  <c r="AM135" i="1"/>
  <c r="AM134" i="1"/>
  <c r="AM133" i="1"/>
  <c r="AM132" i="1"/>
  <c r="AM131" i="1"/>
  <c r="AM130" i="1"/>
  <c r="AM129" i="1"/>
  <c r="AM128" i="1"/>
  <c r="AM127" i="1"/>
  <c r="AM126" i="1"/>
  <c r="AM125" i="1"/>
  <c r="AM124" i="1"/>
  <c r="AM123" i="1"/>
  <c r="AM120" i="1"/>
  <c r="AM119" i="1"/>
  <c r="AM118" i="1"/>
  <c r="AM117" i="1"/>
  <c r="AM116" i="1"/>
  <c r="AM115" i="1"/>
  <c r="AM114" i="1"/>
  <c r="AM113" i="1"/>
  <c r="AM112" i="1"/>
  <c r="AM111" i="1"/>
  <c r="AM110" i="1"/>
  <c r="AM109" i="1"/>
  <c r="AM108" i="1"/>
  <c r="AM107" i="1"/>
  <c r="AM106" i="1"/>
  <c r="AM105" i="1"/>
  <c r="AM104" i="1"/>
  <c r="AM103" i="1"/>
  <c r="AM102" i="1"/>
  <c r="AM101" i="1"/>
  <c r="AM100" i="1"/>
  <c r="AM99" i="1"/>
  <c r="AM98" i="1"/>
  <c r="AM97" i="1"/>
  <c r="AM96" i="1"/>
  <c r="AM95" i="1"/>
  <c r="AM94" i="1"/>
  <c r="AM93" i="1"/>
  <c r="AM92" i="1"/>
  <c r="AM91" i="1"/>
  <c r="AM90" i="1"/>
  <c r="AM89" i="1"/>
  <c r="AM88" i="1"/>
  <c r="AM87" i="1"/>
  <c r="AM86" i="1"/>
  <c r="AM85" i="1"/>
  <c r="AM84" i="1"/>
  <c r="AM83" i="1"/>
  <c r="AM82" i="1"/>
  <c r="AM81" i="1"/>
  <c r="AM80" i="1"/>
  <c r="AM79" i="1"/>
  <c r="AM78" i="1"/>
  <c r="AM77" i="1"/>
  <c r="AM76" i="1"/>
  <c r="AM75" i="1"/>
  <c r="AM74" i="1"/>
  <c r="AM73" i="1"/>
  <c r="AM72" i="1"/>
  <c r="AM71" i="1"/>
  <c r="AM70" i="1"/>
  <c r="AM69" i="1"/>
  <c r="AM68" i="1"/>
  <c r="AM67" i="1"/>
  <c r="AM66" i="1"/>
  <c r="AM65" i="1"/>
  <c r="AM64" i="1"/>
  <c r="AM63" i="1"/>
  <c r="AM62" i="1"/>
  <c r="AM61" i="1"/>
  <c r="AM60" i="1"/>
  <c r="AM59" i="1"/>
  <c r="AM58" i="1"/>
  <c r="AM57" i="1"/>
  <c r="AM56" i="1"/>
  <c r="AM55" i="1"/>
  <c r="AM54" i="1"/>
  <c r="AM53" i="1"/>
  <c r="AM52" i="1"/>
  <c r="AM51" i="1"/>
  <c r="AM50" i="1"/>
  <c r="AM49" i="1"/>
  <c r="AM48" i="1"/>
  <c r="AM47" i="1"/>
  <c r="AM46" i="1"/>
  <c r="AM45" i="1"/>
  <c r="AM44" i="1"/>
  <c r="AM43" i="1"/>
  <c r="AM42" i="1"/>
  <c r="AM41" i="1"/>
  <c r="AM40" i="1"/>
  <c r="AM39" i="1"/>
  <c r="AM38" i="1"/>
  <c r="AM37" i="1"/>
  <c r="AM36" i="1"/>
  <c r="AM35" i="1"/>
  <c r="AM34" i="1"/>
  <c r="AM33" i="1"/>
  <c r="AM32" i="1"/>
  <c r="AM31" i="1"/>
  <c r="AM30" i="1"/>
  <c r="AM29" i="1"/>
  <c r="AM27" i="1"/>
  <c r="AM25" i="1"/>
  <c r="AM24" i="1"/>
  <c r="AM23" i="1"/>
  <c r="AM22" i="1"/>
  <c r="AM21" i="1"/>
  <c r="AM20" i="1"/>
  <c r="AM18" i="1"/>
  <c r="AM17" i="1"/>
  <c r="AM16" i="1"/>
  <c r="AM15" i="1"/>
  <c r="AM14" i="1"/>
  <c r="AM13" i="1"/>
  <c r="AM12" i="1"/>
  <c r="AM11" i="1"/>
  <c r="AM10" i="1"/>
  <c r="AM9" i="1"/>
  <c r="AM8" i="1"/>
  <c r="AM7" i="1"/>
  <c r="AM6" i="1"/>
  <c r="AM5" i="1"/>
  <c r="AM4" i="1"/>
  <c r="AM3" i="1"/>
  <c r="AM2" i="1"/>
  <c r="AN1552" i="1"/>
  <c r="AN1551" i="1"/>
  <c r="AN1550" i="1"/>
  <c r="AN1549" i="1"/>
  <c r="AN1548" i="1"/>
  <c r="AN1547" i="1"/>
  <c r="AN1545" i="1"/>
  <c r="AN1339" i="1"/>
  <c r="AN1338" i="1"/>
  <c r="AN1335" i="1"/>
  <c r="AN1306" i="1"/>
  <c r="AN1090" i="1"/>
  <c r="AN1029" i="1"/>
  <c r="AN1022" i="1"/>
  <c r="AN1021" i="1"/>
  <c r="AN1020" i="1"/>
  <c r="AN1019" i="1"/>
  <c r="AN1018" i="1"/>
  <c r="AN1017" i="1"/>
  <c r="AN1015" i="1"/>
  <c r="AN1014" i="1"/>
  <c r="AN1013" i="1"/>
  <c r="AN1012" i="1"/>
  <c r="AN848" i="1"/>
  <c r="AN847" i="1"/>
  <c r="AN846" i="1"/>
  <c r="AN845" i="1"/>
  <c r="AN844" i="1"/>
  <c r="AN843" i="1"/>
  <c r="AN842" i="1"/>
  <c r="AN841" i="1"/>
  <c r="AN840" i="1"/>
  <c r="AN839" i="1"/>
  <c r="AN838" i="1"/>
  <c r="AN837" i="1"/>
  <c r="AN626" i="1"/>
  <c r="AN585" i="1"/>
  <c r="AN584" i="1"/>
  <c r="AN583" i="1"/>
  <c r="AN582" i="1"/>
  <c r="AN581" i="1"/>
  <c r="AN580" i="1"/>
  <c r="AN579" i="1"/>
  <c r="AN578" i="1"/>
  <c r="AN371" i="1"/>
  <c r="AN352" i="1"/>
  <c r="AN351" i="1"/>
  <c r="AN349" i="1"/>
  <c r="AN348" i="1"/>
  <c r="AN346" i="1"/>
  <c r="AN345" i="1"/>
  <c r="AN344" i="1"/>
  <c r="AN343" i="1"/>
  <c r="AN341" i="1"/>
  <c r="AN340" i="1"/>
  <c r="AN339" i="1"/>
  <c r="AN338" i="1"/>
  <c r="AN336" i="1"/>
  <c r="AN335" i="1"/>
  <c r="AN334" i="1"/>
  <c r="AN333" i="1"/>
  <c r="AN332" i="1"/>
  <c r="AN331" i="1"/>
  <c r="AN330" i="1"/>
  <c r="AN329" i="1"/>
  <c r="AN6" i="1"/>
  <c r="AN2" i="1"/>
  <c r="AO2" i="1"/>
  <c r="AN3" i="1"/>
  <c r="AO3" i="1"/>
  <c r="AN4" i="1"/>
  <c r="AO4" i="1"/>
  <c r="AN5" i="1"/>
  <c r="AO5" i="1"/>
  <c r="AO6" i="1"/>
  <c r="AN7" i="1"/>
  <c r="AO7" i="1"/>
  <c r="AN8" i="1"/>
  <c r="AO8" i="1"/>
  <c r="AN9" i="1"/>
  <c r="AO9" i="1"/>
  <c r="AN10" i="1"/>
  <c r="AO10" i="1"/>
  <c r="AN11" i="1"/>
  <c r="AO11" i="1"/>
  <c r="AN12" i="1"/>
  <c r="AO12" i="1"/>
  <c r="AN13" i="1"/>
  <c r="AO13" i="1"/>
  <c r="AN14" i="1"/>
  <c r="AO14" i="1"/>
  <c r="AN15" i="1"/>
  <c r="AO15" i="1"/>
  <c r="AN16" i="1"/>
  <c r="AO16" i="1"/>
  <c r="AN17" i="1"/>
  <c r="AO17" i="1"/>
  <c r="AN18" i="1"/>
  <c r="AO18" i="1"/>
  <c r="AN20" i="1"/>
  <c r="AO20" i="1"/>
  <c r="AN21" i="1"/>
  <c r="AO21" i="1"/>
  <c r="AN22" i="1"/>
  <c r="AO22" i="1"/>
  <c r="AN23" i="1"/>
  <c r="AO23" i="1"/>
  <c r="AN24" i="1"/>
  <c r="AO24" i="1"/>
  <c r="AN25" i="1"/>
  <c r="AO25" i="1"/>
  <c r="AN27" i="1"/>
  <c r="AO27" i="1"/>
  <c r="AN29" i="1"/>
  <c r="AO29" i="1"/>
  <c r="AN30" i="1"/>
  <c r="AO30" i="1"/>
  <c r="AN31" i="1"/>
  <c r="AO31" i="1"/>
  <c r="AN32" i="1"/>
  <c r="AO32" i="1"/>
  <c r="AN33" i="1"/>
  <c r="AO33" i="1"/>
  <c r="AN34" i="1"/>
  <c r="AO34" i="1"/>
  <c r="AN35" i="1"/>
  <c r="AO35" i="1"/>
  <c r="AN36" i="1"/>
  <c r="AO36" i="1"/>
  <c r="AN37" i="1"/>
  <c r="AO37" i="1"/>
  <c r="AN38" i="1"/>
  <c r="AO38" i="1"/>
  <c r="AN39" i="1"/>
  <c r="AO39" i="1"/>
  <c r="AN40" i="1"/>
  <c r="AO40" i="1"/>
  <c r="AN41" i="1"/>
  <c r="AO41" i="1"/>
  <c r="AN42" i="1"/>
  <c r="AO42" i="1"/>
  <c r="AN43" i="1"/>
  <c r="AO43" i="1"/>
  <c r="AN44" i="1"/>
  <c r="AO44" i="1"/>
  <c r="AN45" i="1"/>
  <c r="AO45" i="1"/>
  <c r="AN46" i="1"/>
  <c r="AO46" i="1"/>
  <c r="AN47" i="1"/>
  <c r="AO47" i="1"/>
  <c r="AN48" i="1"/>
  <c r="AO48" i="1"/>
  <c r="AN49" i="1"/>
  <c r="AO49" i="1"/>
  <c r="AN50" i="1"/>
  <c r="AO50" i="1"/>
  <c r="AN51" i="1"/>
  <c r="AO51" i="1"/>
  <c r="AN52" i="1"/>
  <c r="AO52" i="1"/>
  <c r="AN53" i="1"/>
  <c r="AO53" i="1"/>
  <c r="AN54" i="1"/>
  <c r="AO54" i="1"/>
  <c r="AN55" i="1"/>
  <c r="AO55" i="1"/>
  <c r="AN56" i="1"/>
  <c r="AO56" i="1"/>
  <c r="AN57" i="1"/>
  <c r="AO57" i="1"/>
  <c r="AN58" i="1"/>
  <c r="AO58" i="1"/>
  <c r="AN59" i="1"/>
  <c r="AO59" i="1"/>
  <c r="AN60" i="1"/>
  <c r="AO60" i="1"/>
  <c r="AN61" i="1"/>
  <c r="AO61" i="1"/>
  <c r="AN62" i="1"/>
  <c r="AO62" i="1"/>
  <c r="AN63" i="1"/>
  <c r="AO63" i="1"/>
  <c r="AN64" i="1"/>
  <c r="AO64" i="1"/>
  <c r="AN65" i="1"/>
  <c r="AO65" i="1"/>
  <c r="AN66" i="1"/>
  <c r="AO66" i="1"/>
  <c r="AN67" i="1"/>
  <c r="AO67" i="1"/>
  <c r="AN68" i="1"/>
  <c r="AO68" i="1"/>
  <c r="AN69" i="1"/>
  <c r="AO69" i="1"/>
  <c r="AN70" i="1"/>
  <c r="AO70" i="1"/>
  <c r="AN71" i="1"/>
  <c r="AO71" i="1"/>
  <c r="AN72" i="1"/>
  <c r="AO72" i="1"/>
  <c r="AN73" i="1"/>
  <c r="AO73" i="1"/>
  <c r="AN74" i="1"/>
  <c r="AO74" i="1"/>
  <c r="AN75" i="1"/>
  <c r="AO75" i="1"/>
  <c r="AN76" i="1"/>
  <c r="AO76" i="1"/>
  <c r="AN77" i="1"/>
  <c r="AO77" i="1"/>
  <c r="AN78" i="1"/>
  <c r="AO78" i="1"/>
  <c r="AN79" i="1"/>
  <c r="AO79" i="1"/>
  <c r="AN80" i="1"/>
  <c r="AO80" i="1"/>
  <c r="AN81" i="1"/>
  <c r="AO81" i="1"/>
  <c r="AN82" i="1"/>
  <c r="AO82" i="1"/>
  <c r="AN83" i="1"/>
  <c r="AO83" i="1"/>
  <c r="AN84" i="1"/>
  <c r="AO84" i="1"/>
  <c r="AN85" i="1"/>
  <c r="AO85" i="1"/>
  <c r="AN86" i="1"/>
  <c r="AO86" i="1"/>
  <c r="AN87" i="1"/>
  <c r="AO87" i="1"/>
  <c r="AN88" i="1"/>
  <c r="AO88" i="1"/>
  <c r="AN89" i="1"/>
  <c r="AO89" i="1"/>
  <c r="AN90" i="1"/>
  <c r="AO90" i="1"/>
  <c r="AN91" i="1"/>
  <c r="AO91" i="1"/>
  <c r="AN92" i="1"/>
  <c r="AN93" i="1"/>
  <c r="AO93" i="1"/>
  <c r="AN94" i="1"/>
  <c r="AO94" i="1"/>
  <c r="AN95" i="1"/>
  <c r="AO95" i="1"/>
  <c r="AN96" i="1"/>
  <c r="AO96" i="1"/>
  <c r="AN97" i="1"/>
  <c r="AO97" i="1"/>
  <c r="AN98" i="1"/>
  <c r="AO98" i="1"/>
  <c r="AN99" i="1"/>
  <c r="AO99" i="1"/>
  <c r="AN100" i="1"/>
  <c r="AO100" i="1"/>
  <c r="AN101" i="1"/>
  <c r="AO101" i="1"/>
  <c r="AN102" i="1"/>
  <c r="AO102" i="1"/>
  <c r="AN103" i="1"/>
  <c r="AO103" i="1"/>
  <c r="AN104" i="1"/>
  <c r="AO104" i="1"/>
  <c r="AN105" i="1"/>
  <c r="AO105" i="1"/>
  <c r="AN106" i="1"/>
  <c r="AO106" i="1"/>
  <c r="AN107" i="1"/>
  <c r="AO107" i="1"/>
  <c r="AN108" i="1"/>
  <c r="AO108" i="1"/>
  <c r="AN109" i="1"/>
  <c r="AO109" i="1"/>
  <c r="AN110" i="1"/>
  <c r="AO110" i="1"/>
  <c r="AN111" i="1"/>
  <c r="AO111" i="1"/>
  <c r="AN112" i="1"/>
  <c r="AO112" i="1"/>
  <c r="AN113" i="1"/>
  <c r="AO113" i="1"/>
  <c r="AN114" i="1"/>
  <c r="AO114" i="1"/>
  <c r="AN115" i="1"/>
  <c r="AO115" i="1"/>
  <c r="AN116" i="1"/>
  <c r="AO116" i="1"/>
  <c r="AN117" i="1"/>
  <c r="AO117" i="1"/>
  <c r="AN118" i="1"/>
  <c r="AO118" i="1"/>
  <c r="AN119" i="1"/>
  <c r="AO119" i="1"/>
  <c r="AN120" i="1"/>
  <c r="AO120" i="1"/>
  <c r="AN123" i="1"/>
  <c r="AO123" i="1"/>
  <c r="AN124" i="1"/>
  <c r="AO124" i="1"/>
  <c r="AN125" i="1"/>
  <c r="AO125" i="1"/>
  <c r="AN126" i="1"/>
  <c r="AO126" i="1"/>
  <c r="AN127" i="1"/>
  <c r="AO127" i="1"/>
  <c r="AN128" i="1"/>
  <c r="AO128" i="1"/>
  <c r="AN129" i="1"/>
  <c r="AO129" i="1"/>
  <c r="AN130" i="1"/>
  <c r="AO130" i="1"/>
  <c r="AN131" i="1"/>
  <c r="AO131" i="1"/>
  <c r="AN132" i="1"/>
  <c r="AO132" i="1"/>
  <c r="AN133" i="1"/>
  <c r="AO133" i="1"/>
  <c r="AN134" i="1"/>
  <c r="AO134" i="1"/>
  <c r="AN135" i="1"/>
  <c r="AO135" i="1"/>
  <c r="AN136" i="1"/>
  <c r="AO136" i="1"/>
  <c r="AN137" i="1"/>
  <c r="AO137" i="1"/>
  <c r="AN138" i="1"/>
  <c r="AO138" i="1"/>
  <c r="AN139" i="1"/>
  <c r="AO139" i="1"/>
  <c r="AN140" i="1"/>
  <c r="AO140" i="1"/>
  <c r="AN141" i="1"/>
  <c r="AO141" i="1"/>
  <c r="AN142" i="1"/>
  <c r="AO142" i="1"/>
  <c r="AN143" i="1"/>
  <c r="AO143" i="1"/>
  <c r="AN144" i="1"/>
  <c r="AO144" i="1"/>
  <c r="AN145" i="1"/>
  <c r="AO145" i="1"/>
  <c r="AN146" i="1"/>
  <c r="AO146" i="1"/>
  <c r="AN147" i="1"/>
  <c r="AO147" i="1"/>
  <c r="AN148" i="1"/>
  <c r="AO148" i="1"/>
  <c r="AN149" i="1"/>
  <c r="AO149" i="1"/>
  <c r="AN150" i="1"/>
  <c r="AO150" i="1"/>
  <c r="AN151" i="1"/>
  <c r="AO151" i="1"/>
  <c r="AN152" i="1"/>
  <c r="AO152" i="1"/>
  <c r="AN153" i="1"/>
  <c r="AO153" i="1"/>
  <c r="AN154" i="1"/>
  <c r="AO154" i="1"/>
  <c r="AN155" i="1"/>
  <c r="AO155" i="1"/>
  <c r="AN156" i="1"/>
  <c r="AO156" i="1"/>
  <c r="AN157" i="1"/>
  <c r="AO157" i="1"/>
  <c r="AN158" i="1"/>
  <c r="AO158" i="1"/>
  <c r="AN159" i="1"/>
  <c r="AO159" i="1"/>
  <c r="AN160" i="1"/>
  <c r="AO160" i="1"/>
  <c r="AN161" i="1"/>
  <c r="AO161" i="1"/>
  <c r="AN162" i="1"/>
  <c r="AO162" i="1"/>
  <c r="AN163" i="1"/>
  <c r="AO163" i="1"/>
  <c r="AN164" i="1"/>
  <c r="AO164" i="1"/>
  <c r="AN165" i="1"/>
  <c r="AO165" i="1"/>
  <c r="AN166" i="1"/>
  <c r="AO166" i="1"/>
  <c r="AN167" i="1"/>
  <c r="AO167" i="1"/>
  <c r="AN169" i="1"/>
  <c r="AO169" i="1"/>
  <c r="AN170" i="1"/>
  <c r="AO170" i="1"/>
  <c r="AN171" i="1"/>
  <c r="AO171" i="1"/>
  <c r="AN172" i="1"/>
  <c r="AO172" i="1"/>
  <c r="AN173" i="1"/>
  <c r="AO173" i="1"/>
  <c r="AN174" i="1"/>
  <c r="AO174" i="1"/>
  <c r="AN175" i="1"/>
  <c r="AO175" i="1"/>
  <c r="AN176" i="1"/>
  <c r="AO176" i="1"/>
  <c r="AN177" i="1"/>
  <c r="AO177" i="1"/>
  <c r="AN178" i="1"/>
  <c r="AO178" i="1"/>
  <c r="AN179" i="1"/>
  <c r="AO179" i="1"/>
  <c r="AN180" i="1"/>
  <c r="AO180" i="1"/>
  <c r="AN181" i="1"/>
  <c r="AO181" i="1"/>
  <c r="AN182" i="1"/>
  <c r="AO182" i="1"/>
  <c r="AN183" i="1"/>
  <c r="AO183" i="1"/>
  <c r="AN184" i="1"/>
  <c r="AO184" i="1"/>
  <c r="AN185" i="1"/>
  <c r="AO185" i="1"/>
  <c r="AN186" i="1"/>
  <c r="AO186" i="1"/>
  <c r="AN187" i="1"/>
  <c r="AO187" i="1"/>
  <c r="AN188" i="1"/>
  <c r="AO188" i="1"/>
  <c r="AN189" i="1"/>
  <c r="AO189" i="1"/>
  <c r="AN190" i="1"/>
  <c r="AO190" i="1"/>
  <c r="AN191" i="1"/>
  <c r="AO191" i="1"/>
  <c r="AN192" i="1"/>
  <c r="AO192" i="1"/>
  <c r="AN193" i="1"/>
  <c r="AO193" i="1"/>
  <c r="AN194" i="1"/>
  <c r="AO194" i="1"/>
  <c r="AN195" i="1"/>
  <c r="AO195" i="1"/>
  <c r="AN196" i="1"/>
  <c r="AO196" i="1"/>
  <c r="AN197" i="1"/>
  <c r="AO197" i="1"/>
  <c r="AN198" i="1"/>
  <c r="AO198" i="1"/>
  <c r="AN199" i="1"/>
  <c r="AO199" i="1"/>
  <c r="AN200" i="1"/>
  <c r="AO200" i="1"/>
  <c r="AN201" i="1"/>
  <c r="AO201" i="1"/>
  <c r="AN202" i="1"/>
  <c r="AO202" i="1"/>
  <c r="AN203" i="1"/>
  <c r="AO203" i="1"/>
  <c r="AN204" i="1"/>
  <c r="AO204" i="1"/>
  <c r="AN205" i="1"/>
  <c r="AO205" i="1"/>
  <c r="AN206" i="1"/>
  <c r="AO206" i="1"/>
  <c r="AN208" i="1"/>
  <c r="AO208" i="1"/>
  <c r="AN209" i="1"/>
  <c r="AO209" i="1"/>
  <c r="AN210" i="1"/>
  <c r="AO210" i="1"/>
  <c r="AN211" i="1"/>
  <c r="AO211" i="1"/>
  <c r="AN212" i="1"/>
  <c r="AO212" i="1"/>
  <c r="AN213" i="1"/>
  <c r="AO213" i="1"/>
  <c r="AN214" i="1"/>
  <c r="AO214" i="1"/>
  <c r="AN215" i="1"/>
  <c r="AO215" i="1"/>
  <c r="AN216" i="1"/>
  <c r="AO216" i="1"/>
  <c r="AN217" i="1"/>
  <c r="AO217" i="1"/>
  <c r="AN219" i="1"/>
  <c r="AO219" i="1"/>
  <c r="AN220" i="1"/>
  <c r="AO220" i="1"/>
  <c r="AN221" i="1"/>
  <c r="AO221" i="1"/>
  <c r="AN222" i="1"/>
  <c r="AO222" i="1"/>
  <c r="AN223" i="1"/>
  <c r="AO223" i="1"/>
  <c r="AN224" i="1"/>
  <c r="AO224" i="1"/>
  <c r="AN225" i="1"/>
  <c r="AO225" i="1"/>
  <c r="AN226" i="1"/>
  <c r="AO226" i="1"/>
  <c r="AN227" i="1"/>
  <c r="AO227" i="1"/>
  <c r="AN228" i="1"/>
  <c r="AO228" i="1"/>
  <c r="AN229" i="1"/>
  <c r="AO229" i="1"/>
  <c r="AN230" i="1"/>
  <c r="AO230" i="1"/>
  <c r="AN231" i="1"/>
  <c r="AO231" i="1"/>
  <c r="AN232" i="1"/>
  <c r="AO232" i="1"/>
  <c r="AN233" i="1"/>
  <c r="AO233" i="1"/>
  <c r="AN234" i="1"/>
  <c r="AO234" i="1"/>
  <c r="AN235" i="1"/>
  <c r="AO235" i="1"/>
  <c r="AN236" i="1"/>
  <c r="AO236" i="1"/>
  <c r="AN237" i="1"/>
  <c r="AO237" i="1"/>
  <c r="AN238" i="1"/>
  <c r="AO238" i="1"/>
  <c r="AN239" i="1"/>
  <c r="AO239" i="1"/>
  <c r="AN240" i="1"/>
  <c r="AO240" i="1"/>
  <c r="AN241" i="1"/>
  <c r="AO241" i="1"/>
  <c r="AN242" i="1"/>
  <c r="AO242" i="1"/>
  <c r="AN243" i="1"/>
  <c r="AO243" i="1"/>
  <c r="AN244" i="1"/>
  <c r="AO244" i="1"/>
  <c r="AN245" i="1"/>
  <c r="AO245" i="1"/>
  <c r="AN246" i="1"/>
  <c r="AO246" i="1"/>
  <c r="AN247" i="1"/>
  <c r="AO247" i="1"/>
  <c r="AN248" i="1"/>
  <c r="AO248" i="1"/>
  <c r="AN249" i="1"/>
  <c r="AO249" i="1"/>
  <c r="AN250" i="1"/>
  <c r="AO250" i="1"/>
  <c r="AN251" i="1"/>
  <c r="AO251" i="1"/>
  <c r="AN252" i="1"/>
  <c r="AO252" i="1"/>
  <c r="AN253" i="1"/>
  <c r="AO253" i="1"/>
  <c r="AN254" i="1"/>
  <c r="AO254" i="1"/>
  <c r="AN255" i="1"/>
  <c r="AO255" i="1"/>
  <c r="AN256" i="1"/>
  <c r="AO256" i="1"/>
  <c r="AN257" i="1"/>
  <c r="AO257" i="1"/>
  <c r="AN258" i="1"/>
  <c r="AO258" i="1"/>
  <c r="AN259" i="1"/>
  <c r="AO259" i="1"/>
  <c r="AN260" i="1"/>
  <c r="AO260" i="1"/>
  <c r="AN261" i="1"/>
  <c r="AO261" i="1"/>
  <c r="AN262" i="1"/>
  <c r="AO262" i="1"/>
  <c r="AN263" i="1"/>
  <c r="AO263" i="1"/>
  <c r="AN264" i="1"/>
  <c r="AO264" i="1"/>
  <c r="AN265" i="1"/>
  <c r="AO265" i="1"/>
  <c r="AN266" i="1"/>
  <c r="AO266" i="1"/>
  <c r="AN267" i="1"/>
  <c r="AO267" i="1"/>
  <c r="AN268" i="1"/>
  <c r="AO268" i="1"/>
  <c r="AN269" i="1"/>
  <c r="AO269" i="1"/>
  <c r="AN270" i="1"/>
  <c r="AO270" i="1"/>
  <c r="AN271" i="1"/>
  <c r="AO271" i="1"/>
  <c r="AN272" i="1"/>
  <c r="AO272" i="1"/>
  <c r="AN273" i="1"/>
  <c r="AO273" i="1"/>
  <c r="AN274" i="1"/>
  <c r="AO274" i="1"/>
  <c r="AN275" i="1"/>
  <c r="AO275" i="1"/>
  <c r="AN276" i="1"/>
  <c r="AO276" i="1"/>
  <c r="AN277" i="1"/>
  <c r="AO277" i="1"/>
  <c r="AN278" i="1"/>
  <c r="AO278" i="1"/>
  <c r="AN279" i="1"/>
  <c r="AO279" i="1"/>
  <c r="AN280" i="1"/>
  <c r="AO280" i="1"/>
  <c r="AN281" i="1"/>
  <c r="AO281" i="1"/>
  <c r="AN282" i="1"/>
  <c r="AO282" i="1"/>
  <c r="AN283" i="1"/>
  <c r="AO283" i="1"/>
  <c r="AN284" i="1"/>
  <c r="AO284" i="1"/>
  <c r="AN285" i="1"/>
  <c r="AO285" i="1"/>
  <c r="AN286" i="1"/>
  <c r="AO286" i="1"/>
  <c r="AN287" i="1"/>
  <c r="AO287" i="1"/>
  <c r="AN288" i="1"/>
  <c r="AO288" i="1"/>
  <c r="AN289" i="1"/>
  <c r="AO289" i="1"/>
  <c r="AN290" i="1"/>
  <c r="AO290" i="1"/>
  <c r="AN291" i="1"/>
  <c r="AO291" i="1"/>
  <c r="AN292" i="1"/>
  <c r="AO292" i="1"/>
  <c r="AN293" i="1"/>
  <c r="AO293" i="1"/>
  <c r="AN294" i="1"/>
  <c r="AO294" i="1"/>
  <c r="AN295" i="1"/>
  <c r="AO295" i="1"/>
  <c r="AN296" i="1"/>
  <c r="AO296" i="1"/>
  <c r="AN297" i="1"/>
  <c r="AO297" i="1"/>
  <c r="AN298" i="1"/>
  <c r="AO298" i="1"/>
  <c r="AN299" i="1"/>
  <c r="AO299" i="1"/>
  <c r="AN300" i="1"/>
  <c r="AO300" i="1"/>
  <c r="AN301" i="1"/>
  <c r="AO301" i="1"/>
  <c r="AN303" i="1"/>
  <c r="AO303" i="1"/>
  <c r="AN304" i="1"/>
  <c r="AO304" i="1"/>
  <c r="AN305" i="1"/>
  <c r="AO305" i="1"/>
  <c r="AN306" i="1"/>
  <c r="AO306" i="1"/>
  <c r="AN307" i="1"/>
  <c r="AO307" i="1"/>
  <c r="AN308" i="1"/>
  <c r="AO308" i="1"/>
  <c r="AN309" i="1"/>
  <c r="AO309" i="1"/>
  <c r="AN310" i="1"/>
  <c r="AO310" i="1"/>
  <c r="AN311" i="1"/>
  <c r="AO311" i="1"/>
  <c r="AN312" i="1"/>
  <c r="AO312" i="1"/>
  <c r="AN313" i="1"/>
  <c r="AO313" i="1"/>
  <c r="AN314" i="1"/>
  <c r="AO314" i="1"/>
  <c r="AN315" i="1"/>
  <c r="AO315" i="1"/>
  <c r="AN316" i="1"/>
  <c r="AO316" i="1"/>
  <c r="AN317" i="1"/>
  <c r="AO317" i="1"/>
  <c r="AN318" i="1"/>
  <c r="AO318" i="1"/>
  <c r="AN319" i="1"/>
  <c r="AO319" i="1"/>
  <c r="AN320" i="1"/>
  <c r="AO320" i="1"/>
  <c r="AN321" i="1"/>
  <c r="AO321" i="1"/>
  <c r="AN322" i="1"/>
  <c r="AO322" i="1"/>
  <c r="AN323" i="1"/>
  <c r="AO323" i="1"/>
  <c r="AN324" i="1"/>
  <c r="AO324" i="1"/>
  <c r="AN325" i="1"/>
  <c r="AO325" i="1"/>
  <c r="AN326" i="1"/>
  <c r="AO326" i="1"/>
  <c r="AN327" i="1"/>
  <c r="AO327" i="1"/>
  <c r="AN328" i="1"/>
  <c r="AO328" i="1"/>
  <c r="AO329" i="1"/>
  <c r="AO330" i="1"/>
  <c r="AO331" i="1"/>
  <c r="AO332" i="1"/>
  <c r="AO333" i="1"/>
  <c r="AO334" i="1"/>
  <c r="AO335" i="1"/>
  <c r="AO336" i="1"/>
  <c r="AN337" i="1"/>
  <c r="AO337" i="1"/>
  <c r="AO338" i="1"/>
  <c r="AO339" i="1"/>
  <c r="AO340" i="1"/>
  <c r="AO341" i="1"/>
  <c r="AN342" i="1"/>
  <c r="AO342" i="1"/>
  <c r="AO343" i="1"/>
  <c r="AO344" i="1"/>
  <c r="AO345" i="1"/>
  <c r="AO346" i="1"/>
  <c r="AO348" i="1"/>
  <c r="AO349" i="1"/>
  <c r="AO351" i="1"/>
  <c r="AO352" i="1"/>
  <c r="AN353" i="1"/>
  <c r="AO353" i="1"/>
  <c r="AN354" i="1"/>
  <c r="AO354" i="1"/>
  <c r="AN355" i="1"/>
  <c r="AO355" i="1"/>
  <c r="AN356" i="1"/>
  <c r="AO356" i="1"/>
  <c r="AN357" i="1"/>
  <c r="AO357" i="1"/>
  <c r="AN358" i="1"/>
  <c r="AO358" i="1"/>
  <c r="AN359" i="1"/>
  <c r="AO359" i="1"/>
  <c r="AN360" i="1"/>
  <c r="AO360" i="1"/>
  <c r="AN361" i="1"/>
  <c r="AO361" i="1"/>
  <c r="AN362" i="1"/>
  <c r="AO362" i="1"/>
  <c r="AN363" i="1"/>
  <c r="AO363" i="1"/>
  <c r="AN364" i="1"/>
  <c r="AO364" i="1"/>
  <c r="AN365" i="1"/>
  <c r="AO365" i="1"/>
  <c r="AN366" i="1"/>
  <c r="AO366" i="1"/>
  <c r="AN367" i="1"/>
  <c r="AO367" i="1"/>
  <c r="AN368" i="1"/>
  <c r="AO368" i="1"/>
  <c r="AN369" i="1"/>
  <c r="AO369" i="1"/>
  <c r="AN370" i="1"/>
  <c r="AO370" i="1"/>
  <c r="AO371" i="1"/>
  <c r="AN372" i="1"/>
  <c r="AO372" i="1"/>
  <c r="AN373" i="1"/>
  <c r="AO373" i="1"/>
  <c r="AN374" i="1"/>
  <c r="AO374" i="1"/>
  <c r="AN375" i="1"/>
  <c r="AO375" i="1"/>
  <c r="AN376" i="1"/>
  <c r="AO376" i="1"/>
  <c r="AN377" i="1"/>
  <c r="AO377" i="1"/>
  <c r="AN378" i="1"/>
  <c r="AO378" i="1"/>
  <c r="AN379" i="1"/>
  <c r="AO379" i="1"/>
  <c r="AN380" i="1"/>
  <c r="AO380" i="1"/>
  <c r="AN381" i="1"/>
  <c r="AO381" i="1"/>
  <c r="AN382" i="1"/>
  <c r="AO382" i="1"/>
  <c r="AN383" i="1"/>
  <c r="AO383" i="1"/>
  <c r="AN385" i="1"/>
  <c r="AO385" i="1"/>
  <c r="AN386" i="1"/>
  <c r="AO386" i="1"/>
  <c r="AN387" i="1"/>
  <c r="AO387" i="1"/>
  <c r="AQ387" i="1"/>
  <c r="AN388" i="1"/>
  <c r="AO388" i="1"/>
  <c r="AQ388" i="1"/>
  <c r="AN389" i="1"/>
  <c r="AO389" i="1"/>
  <c r="AN390" i="1"/>
  <c r="AO390" i="1"/>
  <c r="AN391" i="1"/>
  <c r="AO391" i="1"/>
  <c r="AN392" i="1"/>
  <c r="AO392" i="1"/>
  <c r="AN393" i="1"/>
  <c r="AO393" i="1"/>
  <c r="AN394" i="1"/>
  <c r="AO394" i="1"/>
  <c r="AN395" i="1"/>
  <c r="AO395" i="1"/>
  <c r="AN396" i="1"/>
  <c r="AO396" i="1"/>
  <c r="AN397" i="1"/>
  <c r="AO397" i="1"/>
  <c r="AN398" i="1"/>
  <c r="AO398" i="1"/>
  <c r="AN399" i="1"/>
  <c r="AO399" i="1"/>
  <c r="AN400" i="1"/>
  <c r="AO400" i="1"/>
  <c r="AN401" i="1"/>
  <c r="AO401" i="1"/>
  <c r="AN402" i="1"/>
  <c r="AO402" i="1"/>
  <c r="AN403" i="1"/>
  <c r="AO403" i="1"/>
  <c r="AN404" i="1"/>
  <c r="AO404" i="1"/>
  <c r="AN405" i="1"/>
  <c r="AO405" i="1"/>
  <c r="AN406" i="1"/>
  <c r="AO406" i="1"/>
  <c r="AN407" i="1"/>
  <c r="AO407" i="1"/>
  <c r="AN408" i="1"/>
  <c r="AO408" i="1"/>
  <c r="AN409" i="1"/>
  <c r="AO409" i="1"/>
  <c r="AN410" i="1"/>
  <c r="AO410" i="1"/>
  <c r="AN411" i="1"/>
  <c r="AO411" i="1"/>
  <c r="AN412" i="1"/>
  <c r="AO412" i="1"/>
  <c r="AN413" i="1"/>
  <c r="AO413" i="1"/>
  <c r="AN414" i="1"/>
  <c r="AO414" i="1"/>
  <c r="AN416" i="1"/>
  <c r="AO416" i="1"/>
  <c r="AN417" i="1"/>
  <c r="AO417" i="1"/>
  <c r="AN418" i="1"/>
  <c r="AO418" i="1"/>
  <c r="AN419" i="1"/>
  <c r="AO419" i="1"/>
  <c r="AN420" i="1"/>
  <c r="AO420" i="1"/>
  <c r="AN421" i="1"/>
  <c r="AO421" i="1"/>
  <c r="AN422" i="1"/>
  <c r="AO422" i="1"/>
  <c r="AN423" i="1"/>
  <c r="AO423" i="1"/>
  <c r="AN424" i="1"/>
  <c r="AO424" i="1"/>
  <c r="AN425" i="1"/>
  <c r="AO425" i="1"/>
  <c r="AN426" i="1"/>
  <c r="AO426" i="1"/>
  <c r="AN428" i="1"/>
  <c r="AO428" i="1"/>
  <c r="AN429" i="1"/>
  <c r="AO429" i="1"/>
  <c r="AN430" i="1"/>
  <c r="AO430" i="1"/>
  <c r="AN431" i="1"/>
  <c r="AO431" i="1"/>
  <c r="AN432" i="1"/>
  <c r="AO432" i="1"/>
  <c r="AN433" i="1"/>
  <c r="AO433" i="1"/>
  <c r="AN436" i="1"/>
  <c r="AO436" i="1"/>
  <c r="AN437" i="1"/>
  <c r="AO437" i="1"/>
  <c r="AN438" i="1"/>
  <c r="AO438" i="1"/>
  <c r="AN439" i="1"/>
  <c r="AO439" i="1"/>
  <c r="AN440" i="1"/>
  <c r="AO440" i="1"/>
  <c r="AN441" i="1"/>
  <c r="AO441" i="1"/>
  <c r="AN442" i="1"/>
  <c r="AO442" i="1"/>
  <c r="AN443" i="1"/>
  <c r="AO443" i="1"/>
  <c r="AN449" i="1"/>
  <c r="AO449" i="1"/>
  <c r="AN450" i="1"/>
  <c r="AO450" i="1"/>
  <c r="AN451" i="1"/>
  <c r="AO451" i="1"/>
  <c r="AN454" i="1"/>
  <c r="AO454" i="1"/>
  <c r="AN455" i="1"/>
  <c r="AO455" i="1"/>
  <c r="AN456" i="1"/>
  <c r="AO456" i="1"/>
  <c r="AN457" i="1"/>
  <c r="AO457" i="1"/>
  <c r="AN458" i="1"/>
  <c r="AO458" i="1"/>
  <c r="AN461" i="1"/>
  <c r="AO461" i="1"/>
  <c r="AN462" i="1"/>
  <c r="AO462" i="1"/>
  <c r="AN463" i="1"/>
  <c r="AO463" i="1"/>
  <c r="AN464" i="1"/>
  <c r="AO464" i="1"/>
  <c r="AN465" i="1"/>
  <c r="AO465" i="1"/>
  <c r="AN466" i="1"/>
  <c r="AO466" i="1"/>
  <c r="AN467" i="1"/>
  <c r="AO467" i="1"/>
  <c r="AN468" i="1"/>
  <c r="AO468" i="1"/>
  <c r="AN469" i="1"/>
  <c r="AO469" i="1"/>
  <c r="AN470" i="1"/>
  <c r="AO470" i="1"/>
  <c r="AN471" i="1"/>
  <c r="AO471" i="1"/>
  <c r="AN472" i="1"/>
  <c r="AO472" i="1"/>
  <c r="AN473" i="1"/>
  <c r="AO473" i="1"/>
  <c r="AN475" i="1"/>
  <c r="AO475" i="1"/>
  <c r="AN476" i="1"/>
  <c r="AO476" i="1"/>
  <c r="AN482" i="1"/>
  <c r="AO482" i="1"/>
  <c r="AN483" i="1"/>
  <c r="AO483" i="1"/>
  <c r="AN484" i="1"/>
  <c r="AO484" i="1"/>
  <c r="AN485" i="1"/>
  <c r="AO485" i="1"/>
  <c r="AN486" i="1"/>
  <c r="AO486" i="1"/>
  <c r="AN487" i="1"/>
  <c r="AO487" i="1"/>
  <c r="AN488" i="1"/>
  <c r="AO488" i="1"/>
  <c r="AN489" i="1"/>
  <c r="AO489" i="1"/>
  <c r="AN490" i="1"/>
  <c r="AO490" i="1"/>
  <c r="AN491" i="1"/>
  <c r="AO491" i="1"/>
  <c r="AN492" i="1"/>
  <c r="AO492" i="1"/>
  <c r="AN493" i="1"/>
  <c r="AO493" i="1"/>
  <c r="AN494" i="1"/>
  <c r="AO494" i="1"/>
  <c r="AN495" i="1"/>
  <c r="AO495" i="1"/>
  <c r="AN496" i="1"/>
  <c r="AO496" i="1"/>
  <c r="AN497" i="1"/>
  <c r="AO497" i="1"/>
  <c r="AN498" i="1"/>
  <c r="AO498" i="1"/>
  <c r="AN499" i="1"/>
  <c r="AO499" i="1"/>
  <c r="AN500" i="1"/>
  <c r="AO500" i="1"/>
  <c r="AN501" i="1"/>
  <c r="AO501" i="1"/>
  <c r="AN502" i="1"/>
  <c r="AO502" i="1"/>
  <c r="AN503" i="1"/>
  <c r="AO503" i="1"/>
  <c r="AN504" i="1"/>
  <c r="AO504" i="1"/>
  <c r="AN505" i="1"/>
  <c r="AO505" i="1"/>
  <c r="AN506" i="1"/>
  <c r="AO506" i="1"/>
  <c r="AN507" i="1"/>
  <c r="AO507" i="1"/>
  <c r="AN508" i="1"/>
  <c r="AO508" i="1"/>
  <c r="AN509" i="1"/>
  <c r="AO509" i="1"/>
  <c r="AN511" i="1"/>
  <c r="AO511" i="1"/>
  <c r="AN512" i="1"/>
  <c r="AO512" i="1"/>
  <c r="AN513" i="1"/>
  <c r="AO513" i="1"/>
  <c r="AN514" i="1"/>
  <c r="AO514" i="1"/>
  <c r="AN515" i="1"/>
  <c r="AO515" i="1"/>
  <c r="AN516" i="1"/>
  <c r="AO516" i="1"/>
  <c r="AN517" i="1"/>
  <c r="AO517" i="1"/>
  <c r="AN518" i="1"/>
  <c r="AO518" i="1"/>
  <c r="AN519" i="1"/>
  <c r="AO519" i="1"/>
  <c r="AN520" i="1"/>
  <c r="AO520" i="1"/>
  <c r="AN521" i="1"/>
  <c r="AO521" i="1"/>
  <c r="AN522" i="1"/>
  <c r="AO522" i="1"/>
  <c r="AN523" i="1"/>
  <c r="AO523" i="1"/>
  <c r="AN524" i="1"/>
  <c r="AO524" i="1"/>
  <c r="AN525" i="1"/>
  <c r="AO525" i="1"/>
  <c r="AN527" i="1"/>
  <c r="AO527" i="1"/>
  <c r="AN528" i="1"/>
  <c r="AO528" i="1"/>
  <c r="AN529" i="1"/>
  <c r="AO529" i="1"/>
  <c r="AN530" i="1"/>
  <c r="AO530" i="1"/>
  <c r="AN531" i="1"/>
  <c r="AO531" i="1"/>
  <c r="AN532" i="1"/>
  <c r="AO532" i="1"/>
  <c r="AN533" i="1"/>
  <c r="AO533" i="1"/>
  <c r="AN534" i="1"/>
  <c r="AO534" i="1"/>
  <c r="AN535" i="1"/>
  <c r="AO535" i="1"/>
  <c r="AN536" i="1"/>
  <c r="AO536" i="1"/>
  <c r="AN537" i="1"/>
  <c r="AO537" i="1"/>
  <c r="AN538" i="1"/>
  <c r="AO538" i="1"/>
  <c r="AN539" i="1"/>
  <c r="AO539" i="1"/>
  <c r="AN540" i="1"/>
  <c r="AO540" i="1"/>
  <c r="AN541" i="1"/>
  <c r="AO541" i="1"/>
  <c r="AN542" i="1"/>
  <c r="AO542" i="1"/>
  <c r="AN543" i="1"/>
  <c r="AO543" i="1"/>
  <c r="AN544" i="1"/>
  <c r="AO544" i="1"/>
  <c r="AN545" i="1"/>
  <c r="AO545" i="1"/>
  <c r="AN546" i="1"/>
  <c r="AO546" i="1"/>
  <c r="AN547" i="1"/>
  <c r="AO547" i="1"/>
  <c r="AN548" i="1"/>
  <c r="AO548" i="1"/>
  <c r="AN549" i="1"/>
  <c r="AO549" i="1"/>
  <c r="AN550" i="1"/>
  <c r="AO550" i="1"/>
  <c r="AN551" i="1"/>
  <c r="AO551" i="1"/>
  <c r="AN552" i="1"/>
  <c r="AO552" i="1"/>
  <c r="AN553" i="1"/>
  <c r="AO553" i="1"/>
  <c r="AN554" i="1"/>
  <c r="AO554" i="1"/>
  <c r="AN555" i="1"/>
  <c r="AO555" i="1"/>
  <c r="AN556" i="1"/>
  <c r="AO556" i="1"/>
  <c r="AN557" i="1"/>
  <c r="AO557" i="1"/>
  <c r="AN558" i="1"/>
  <c r="AO558" i="1"/>
  <c r="AN559" i="1"/>
  <c r="AO559" i="1"/>
  <c r="AN560" i="1"/>
  <c r="AO560" i="1"/>
  <c r="AN561" i="1"/>
  <c r="AO561" i="1"/>
  <c r="AN562" i="1"/>
  <c r="AO562" i="1"/>
  <c r="AN563" i="1"/>
  <c r="AO563" i="1"/>
  <c r="AN564" i="1"/>
  <c r="AO564" i="1"/>
  <c r="AN565" i="1"/>
  <c r="AO565" i="1"/>
  <c r="AN566" i="1"/>
  <c r="AO566" i="1"/>
  <c r="AN567" i="1"/>
  <c r="AO567" i="1"/>
  <c r="AN568" i="1"/>
  <c r="AO568" i="1"/>
  <c r="AN569" i="1"/>
  <c r="AO569" i="1"/>
  <c r="AN570" i="1"/>
  <c r="AO570" i="1"/>
  <c r="AN571" i="1"/>
  <c r="AO571" i="1"/>
  <c r="AN572" i="1"/>
  <c r="AO572" i="1"/>
  <c r="AN573" i="1"/>
  <c r="AO573" i="1"/>
  <c r="AN574" i="1"/>
  <c r="AO574" i="1"/>
  <c r="AN575" i="1"/>
  <c r="AO575" i="1"/>
  <c r="AN576" i="1"/>
  <c r="AO576" i="1"/>
  <c r="AN577" i="1"/>
  <c r="AO577" i="1"/>
  <c r="AO578" i="1"/>
  <c r="AO579" i="1"/>
  <c r="AO580" i="1"/>
  <c r="AO581" i="1"/>
  <c r="AO582" i="1"/>
  <c r="AO583" i="1"/>
  <c r="AO584" i="1"/>
  <c r="AO585" i="1"/>
  <c r="AN586" i="1"/>
  <c r="AO586" i="1"/>
  <c r="AN587" i="1"/>
  <c r="AO587" i="1"/>
  <c r="AN588" i="1"/>
  <c r="AO588" i="1"/>
  <c r="AN589" i="1"/>
  <c r="AO589" i="1"/>
  <c r="AN590" i="1"/>
  <c r="AO590" i="1"/>
  <c r="AN591" i="1"/>
  <c r="AO591" i="1"/>
  <c r="AN592" i="1"/>
  <c r="AO592" i="1"/>
  <c r="AN593" i="1"/>
  <c r="AO593" i="1"/>
  <c r="AN594" i="1"/>
  <c r="AO594" i="1"/>
  <c r="AN596" i="1"/>
  <c r="AO596" i="1"/>
  <c r="AN597" i="1"/>
  <c r="AO597" i="1"/>
  <c r="AN598" i="1"/>
  <c r="AO598" i="1"/>
  <c r="AN599" i="1"/>
  <c r="AO599" i="1"/>
  <c r="AN600" i="1"/>
  <c r="AO600" i="1"/>
  <c r="AN601" i="1"/>
  <c r="AO601" i="1"/>
  <c r="AN602" i="1"/>
  <c r="AO602" i="1"/>
  <c r="AN603" i="1"/>
  <c r="AO603" i="1"/>
  <c r="AN605" i="1"/>
  <c r="AO605" i="1"/>
  <c r="AN606" i="1"/>
  <c r="AO606" i="1"/>
  <c r="AN607" i="1"/>
  <c r="AO607" i="1"/>
  <c r="AN608" i="1"/>
  <c r="AO608" i="1"/>
  <c r="AN609" i="1"/>
  <c r="AO609" i="1"/>
  <c r="AN610" i="1"/>
  <c r="AO610" i="1"/>
  <c r="AN611" i="1"/>
  <c r="AO611" i="1"/>
  <c r="AN612" i="1"/>
  <c r="AO612" i="1"/>
  <c r="AN613" i="1"/>
  <c r="AO613" i="1"/>
  <c r="AN614" i="1"/>
  <c r="AO614" i="1"/>
  <c r="AN615" i="1"/>
  <c r="AO615" i="1"/>
  <c r="AN616" i="1"/>
  <c r="AO616" i="1"/>
  <c r="AN617" i="1"/>
  <c r="AO617" i="1"/>
  <c r="AN618" i="1"/>
  <c r="AO618" i="1"/>
  <c r="AN620" i="1"/>
  <c r="AO620" i="1"/>
  <c r="AN621" i="1"/>
  <c r="AO621" i="1"/>
  <c r="AN622" i="1"/>
  <c r="AO622" i="1"/>
  <c r="AN623" i="1"/>
  <c r="AO623" i="1"/>
  <c r="AN624" i="1"/>
  <c r="AO624" i="1"/>
  <c r="AN625" i="1"/>
  <c r="AO625" i="1"/>
  <c r="AO626" i="1"/>
  <c r="AN627" i="1"/>
  <c r="AO627" i="1"/>
  <c r="AN628" i="1"/>
  <c r="AO628" i="1"/>
  <c r="AN629" i="1"/>
  <c r="AO629" i="1"/>
  <c r="AN630" i="1"/>
  <c r="AO630" i="1"/>
  <c r="AN631" i="1"/>
  <c r="AO631" i="1"/>
  <c r="AN632" i="1"/>
  <c r="AO632" i="1"/>
  <c r="AN633" i="1"/>
  <c r="AO633" i="1"/>
  <c r="AN634" i="1"/>
  <c r="AO634" i="1"/>
  <c r="AN635" i="1"/>
  <c r="AO635" i="1"/>
  <c r="AN636" i="1"/>
  <c r="AO636" i="1"/>
  <c r="AN637" i="1"/>
  <c r="AO637" i="1"/>
  <c r="AN638" i="1"/>
  <c r="AO638" i="1"/>
  <c r="AN639" i="1"/>
  <c r="AO639" i="1"/>
  <c r="AN640" i="1"/>
  <c r="AO640" i="1"/>
  <c r="AN641" i="1"/>
  <c r="AO641" i="1"/>
  <c r="AN642" i="1"/>
  <c r="AO642" i="1"/>
  <c r="AN643" i="1"/>
  <c r="AO643" i="1"/>
  <c r="AN644" i="1"/>
  <c r="AO644" i="1"/>
  <c r="AN645" i="1"/>
  <c r="AO645" i="1"/>
  <c r="AN646" i="1"/>
  <c r="AO646" i="1"/>
  <c r="AN647" i="1"/>
  <c r="AO647" i="1"/>
  <c r="AN648" i="1"/>
  <c r="AO648" i="1"/>
  <c r="AN649" i="1"/>
  <c r="AO649" i="1"/>
  <c r="AN650" i="1"/>
  <c r="AO650" i="1"/>
  <c r="AN651" i="1"/>
  <c r="AO651" i="1"/>
  <c r="AN652" i="1"/>
  <c r="AO652" i="1"/>
  <c r="AN653" i="1"/>
  <c r="AO653" i="1"/>
  <c r="AN654" i="1"/>
  <c r="AO654" i="1"/>
  <c r="AN655" i="1"/>
  <c r="AO655" i="1"/>
  <c r="AN660" i="1"/>
  <c r="AO660" i="1"/>
  <c r="AN661" i="1"/>
  <c r="AO661" i="1"/>
  <c r="AN662" i="1"/>
  <c r="AO662" i="1"/>
  <c r="AN663" i="1"/>
  <c r="AO663" i="1"/>
  <c r="AN664" i="1"/>
  <c r="AO664" i="1"/>
  <c r="AN665" i="1"/>
  <c r="AO665" i="1"/>
  <c r="AN666" i="1"/>
  <c r="AO666" i="1"/>
  <c r="AN667" i="1"/>
  <c r="AO667" i="1"/>
  <c r="AN668" i="1"/>
  <c r="AO668" i="1"/>
  <c r="AN669" i="1"/>
  <c r="AO669" i="1"/>
  <c r="AN671" i="1"/>
  <c r="AO671" i="1"/>
  <c r="AN672" i="1"/>
  <c r="AO672" i="1"/>
  <c r="AN673" i="1"/>
  <c r="AO673" i="1"/>
  <c r="AN674" i="1"/>
  <c r="AO674" i="1"/>
  <c r="AN675" i="1"/>
  <c r="AO675" i="1"/>
  <c r="AN676" i="1"/>
  <c r="AO676" i="1"/>
  <c r="AN677" i="1"/>
  <c r="AO677" i="1"/>
  <c r="AN678" i="1"/>
  <c r="AO678" i="1"/>
  <c r="AN679" i="1"/>
  <c r="AO679" i="1"/>
  <c r="AN680" i="1"/>
  <c r="AO680" i="1"/>
  <c r="AN681" i="1"/>
  <c r="AO681" i="1"/>
  <c r="AN682" i="1"/>
  <c r="AO682" i="1"/>
  <c r="AN683" i="1"/>
  <c r="AO683" i="1"/>
  <c r="AN684" i="1"/>
  <c r="AO684" i="1"/>
  <c r="AN685" i="1"/>
  <c r="AO685" i="1"/>
  <c r="AN686" i="1"/>
  <c r="AO686" i="1"/>
  <c r="AN687" i="1"/>
  <c r="AO687" i="1"/>
  <c r="AN688" i="1"/>
  <c r="AO688" i="1"/>
  <c r="AN689" i="1"/>
  <c r="AO689" i="1"/>
  <c r="AN690" i="1"/>
  <c r="AO690" i="1"/>
  <c r="AN691" i="1"/>
  <c r="AO691" i="1"/>
  <c r="AN692" i="1"/>
  <c r="AO692" i="1"/>
  <c r="AN693" i="1"/>
  <c r="AO693" i="1"/>
  <c r="AN694" i="1"/>
  <c r="AO694" i="1"/>
  <c r="AN695" i="1"/>
  <c r="AO695" i="1"/>
  <c r="AN696" i="1"/>
  <c r="AO696" i="1"/>
  <c r="AN697" i="1"/>
  <c r="AO697" i="1"/>
  <c r="AN698" i="1"/>
  <c r="AO698" i="1"/>
  <c r="AN699" i="1"/>
  <c r="AO699" i="1"/>
  <c r="AN700" i="1"/>
  <c r="AO700" i="1"/>
  <c r="AN701" i="1"/>
  <c r="AO701" i="1"/>
  <c r="AN702" i="1"/>
  <c r="AO702" i="1"/>
  <c r="AN703" i="1"/>
  <c r="AO703" i="1"/>
  <c r="AN704" i="1"/>
  <c r="AO704" i="1"/>
  <c r="AN705" i="1"/>
  <c r="AO705" i="1"/>
  <c r="AN706" i="1"/>
  <c r="AO706" i="1"/>
  <c r="AN707" i="1"/>
  <c r="AO707" i="1"/>
  <c r="AN708" i="1"/>
  <c r="AO708" i="1"/>
  <c r="AN709" i="1"/>
  <c r="AO709" i="1"/>
  <c r="AN710" i="1"/>
  <c r="AO710" i="1"/>
  <c r="AN711" i="1"/>
  <c r="AO711" i="1"/>
  <c r="AN712" i="1"/>
  <c r="AO712" i="1"/>
  <c r="AN713" i="1"/>
  <c r="AO713" i="1"/>
  <c r="AN714" i="1"/>
  <c r="AO714" i="1"/>
  <c r="AN715" i="1"/>
  <c r="AO715" i="1"/>
  <c r="AN716" i="1"/>
  <c r="AO716" i="1"/>
  <c r="AN717" i="1"/>
  <c r="AO717" i="1"/>
  <c r="AN718" i="1"/>
  <c r="AO718" i="1"/>
  <c r="AN719" i="1"/>
  <c r="AO719" i="1"/>
  <c r="AN720" i="1"/>
  <c r="AO720" i="1"/>
  <c r="AN721" i="1"/>
  <c r="AO721" i="1"/>
  <c r="AN722" i="1"/>
  <c r="AO722" i="1"/>
  <c r="AN723" i="1"/>
  <c r="AO723" i="1"/>
  <c r="AN724" i="1"/>
  <c r="AO724" i="1"/>
  <c r="AN725" i="1"/>
  <c r="AO725" i="1"/>
  <c r="AN726" i="1"/>
  <c r="AO726" i="1"/>
  <c r="AN727" i="1"/>
  <c r="AO727" i="1"/>
  <c r="AN728" i="1"/>
  <c r="AO728" i="1"/>
  <c r="AN729" i="1"/>
  <c r="AO729" i="1"/>
  <c r="AN730" i="1"/>
  <c r="AO730" i="1"/>
  <c r="AN731" i="1"/>
  <c r="AO731" i="1"/>
  <c r="AN732" i="1"/>
  <c r="AO732" i="1"/>
  <c r="AN733" i="1"/>
  <c r="AO733" i="1"/>
  <c r="AN734" i="1"/>
  <c r="AO734" i="1"/>
  <c r="AN735" i="1"/>
  <c r="AO735" i="1"/>
  <c r="AN736" i="1"/>
  <c r="AO736" i="1"/>
  <c r="AN738" i="1"/>
  <c r="AO738" i="1"/>
  <c r="AN739" i="1"/>
  <c r="AO739" i="1"/>
  <c r="AN740" i="1"/>
  <c r="AO740" i="1"/>
  <c r="AN741" i="1"/>
  <c r="AO741" i="1"/>
  <c r="AN742" i="1"/>
  <c r="AO742" i="1"/>
  <c r="AN743" i="1"/>
  <c r="AO743" i="1"/>
  <c r="AN746" i="1"/>
  <c r="AO746" i="1"/>
  <c r="AN747" i="1"/>
  <c r="AO747" i="1"/>
  <c r="AN748" i="1"/>
  <c r="AO748" i="1"/>
  <c r="AN749" i="1"/>
  <c r="AO749" i="1"/>
  <c r="AN750" i="1"/>
  <c r="AO750" i="1"/>
  <c r="AN751" i="1"/>
  <c r="AO751" i="1"/>
  <c r="AN752" i="1"/>
  <c r="AO752" i="1"/>
  <c r="AN753" i="1"/>
  <c r="AO753" i="1"/>
  <c r="AN754" i="1"/>
  <c r="AO754" i="1"/>
  <c r="AN755" i="1"/>
  <c r="AO755" i="1"/>
  <c r="AN756" i="1"/>
  <c r="AO756" i="1"/>
  <c r="AN757" i="1"/>
  <c r="AO757" i="1"/>
  <c r="AN758" i="1"/>
  <c r="AO758" i="1"/>
  <c r="AN759" i="1"/>
  <c r="AO759" i="1"/>
  <c r="AN760" i="1"/>
  <c r="AO760" i="1"/>
  <c r="AN761" i="1"/>
  <c r="AO761" i="1"/>
  <c r="AN762" i="1"/>
  <c r="AO762" i="1"/>
  <c r="AN763" i="1"/>
  <c r="AO763" i="1"/>
  <c r="AN764" i="1"/>
  <c r="AO764" i="1"/>
  <c r="AN765" i="1"/>
  <c r="AO765" i="1"/>
  <c r="AN766" i="1"/>
  <c r="AO766" i="1"/>
  <c r="AN767" i="1"/>
  <c r="AO767" i="1"/>
  <c r="AN768" i="1"/>
  <c r="AO768" i="1"/>
  <c r="AN769" i="1"/>
  <c r="AO769" i="1"/>
  <c r="AN770" i="1"/>
  <c r="AO770" i="1"/>
  <c r="AN771" i="1"/>
  <c r="AO771" i="1"/>
  <c r="AN772" i="1"/>
  <c r="AO772" i="1"/>
  <c r="AN773" i="1"/>
  <c r="AO773" i="1"/>
  <c r="AN774" i="1"/>
  <c r="AO774" i="1"/>
  <c r="AN775" i="1"/>
  <c r="AO775" i="1"/>
  <c r="AN776" i="1"/>
  <c r="AO776" i="1"/>
  <c r="AN777" i="1"/>
  <c r="AO777" i="1"/>
  <c r="AN778" i="1"/>
  <c r="AO778" i="1"/>
  <c r="AN779" i="1"/>
  <c r="AO779" i="1"/>
  <c r="AN780" i="1"/>
  <c r="AO780" i="1"/>
  <c r="AN781" i="1"/>
  <c r="AO781" i="1"/>
  <c r="AN782" i="1"/>
  <c r="AO782" i="1"/>
  <c r="AN783" i="1"/>
  <c r="AO783" i="1"/>
  <c r="AN784" i="1"/>
  <c r="AO784" i="1"/>
  <c r="AN785" i="1"/>
  <c r="AO785" i="1"/>
  <c r="AN786" i="1"/>
  <c r="AO786" i="1"/>
  <c r="AN787" i="1"/>
  <c r="AO787" i="1"/>
  <c r="AN788" i="1"/>
  <c r="AO788" i="1"/>
  <c r="AN789" i="1"/>
  <c r="AO789" i="1"/>
  <c r="AN790" i="1"/>
  <c r="AO790" i="1"/>
  <c r="AN791" i="1"/>
  <c r="AO791" i="1"/>
  <c r="AN792" i="1"/>
  <c r="AO792" i="1"/>
  <c r="AN793" i="1"/>
  <c r="AO793" i="1"/>
  <c r="AN794" i="1"/>
  <c r="AO794" i="1"/>
  <c r="AN795" i="1"/>
  <c r="AO795" i="1"/>
  <c r="AN796" i="1"/>
  <c r="AO796" i="1"/>
  <c r="AN797" i="1"/>
  <c r="AO797" i="1"/>
  <c r="AN798" i="1"/>
  <c r="AO798" i="1"/>
  <c r="AN799" i="1"/>
  <c r="AO799" i="1"/>
  <c r="AN800" i="1"/>
  <c r="AO800" i="1"/>
  <c r="AN801" i="1"/>
  <c r="AO801" i="1"/>
  <c r="AN802" i="1"/>
  <c r="AO802" i="1"/>
  <c r="AN803" i="1"/>
  <c r="AO803" i="1"/>
  <c r="AN804" i="1"/>
  <c r="AO804" i="1"/>
  <c r="AN805" i="1"/>
  <c r="AO805" i="1"/>
  <c r="AN806" i="1"/>
  <c r="AO806" i="1"/>
  <c r="AN807" i="1"/>
  <c r="AO807" i="1"/>
  <c r="AN808" i="1"/>
  <c r="AO808" i="1"/>
  <c r="AN809" i="1"/>
  <c r="AO809" i="1"/>
  <c r="AN810" i="1"/>
  <c r="AO810" i="1"/>
  <c r="AN811" i="1"/>
  <c r="AO811" i="1"/>
  <c r="AN812" i="1"/>
  <c r="AO812" i="1"/>
  <c r="AN813" i="1"/>
  <c r="AO813" i="1"/>
  <c r="AN814" i="1"/>
  <c r="AO814" i="1"/>
  <c r="AN815" i="1"/>
  <c r="AO815" i="1"/>
  <c r="AN816" i="1"/>
  <c r="AO816" i="1"/>
  <c r="AN817" i="1"/>
  <c r="AO817" i="1"/>
  <c r="AN818" i="1"/>
  <c r="AO818" i="1"/>
  <c r="AN819" i="1"/>
  <c r="AO819" i="1"/>
  <c r="AN820" i="1"/>
  <c r="AO820" i="1"/>
  <c r="AN821" i="1"/>
  <c r="AO821" i="1"/>
  <c r="AN822" i="1"/>
  <c r="AO822" i="1"/>
  <c r="AN823" i="1"/>
  <c r="AO823" i="1"/>
  <c r="AN824" i="1"/>
  <c r="AO824" i="1"/>
  <c r="AN825" i="1"/>
  <c r="AO825" i="1"/>
  <c r="AN826" i="1"/>
  <c r="AO826" i="1"/>
  <c r="AN827" i="1"/>
  <c r="AO827" i="1"/>
  <c r="AN828" i="1"/>
  <c r="AO828" i="1"/>
  <c r="AN829" i="1"/>
  <c r="AO829" i="1"/>
  <c r="AN830" i="1"/>
  <c r="AO830" i="1"/>
  <c r="AN831" i="1"/>
  <c r="AO831" i="1"/>
  <c r="AN832" i="1"/>
  <c r="AO832" i="1"/>
  <c r="AN833" i="1"/>
  <c r="AO833" i="1"/>
  <c r="AN834" i="1"/>
  <c r="AO834" i="1"/>
  <c r="AN835" i="1"/>
  <c r="AO835" i="1"/>
  <c r="AN836" i="1"/>
  <c r="AO836" i="1"/>
  <c r="AO837" i="1"/>
  <c r="AO838" i="1"/>
  <c r="AO839" i="1"/>
  <c r="AO840" i="1"/>
  <c r="AO841" i="1"/>
  <c r="AO842" i="1"/>
  <c r="AO843" i="1"/>
  <c r="AO844" i="1"/>
  <c r="AO845" i="1"/>
  <c r="AO846" i="1"/>
  <c r="AO847" i="1"/>
  <c r="AO848" i="1"/>
  <c r="AN850" i="1"/>
  <c r="AO850" i="1"/>
  <c r="AN851" i="1"/>
  <c r="AO851" i="1"/>
  <c r="AN852" i="1"/>
  <c r="AO852" i="1"/>
  <c r="AN853" i="1"/>
  <c r="AO853" i="1"/>
  <c r="AN854" i="1"/>
  <c r="AO854" i="1"/>
  <c r="AN855" i="1"/>
  <c r="AO855" i="1"/>
  <c r="AN856" i="1"/>
  <c r="AO856" i="1"/>
  <c r="AN857" i="1"/>
  <c r="AO857" i="1"/>
  <c r="AN858" i="1"/>
  <c r="AO858" i="1"/>
  <c r="AN859" i="1"/>
  <c r="AO859" i="1"/>
  <c r="AN860" i="1"/>
  <c r="AO860" i="1"/>
  <c r="AN861" i="1"/>
  <c r="AO861" i="1"/>
  <c r="AN862" i="1"/>
  <c r="AO862" i="1"/>
  <c r="AN863" i="1"/>
  <c r="AO863" i="1"/>
  <c r="AN864" i="1"/>
  <c r="AO864" i="1"/>
  <c r="AN865" i="1"/>
  <c r="AO865" i="1"/>
  <c r="AN866" i="1"/>
  <c r="AO866" i="1"/>
  <c r="AN867" i="1"/>
  <c r="AO867" i="1"/>
  <c r="AN868" i="1"/>
  <c r="AO868" i="1"/>
  <c r="AN869" i="1"/>
  <c r="AO869" i="1"/>
  <c r="AN870" i="1"/>
  <c r="AO870" i="1"/>
  <c r="AN871" i="1"/>
  <c r="AO871" i="1"/>
  <c r="AN872" i="1"/>
  <c r="AO872" i="1"/>
  <c r="AN873" i="1"/>
  <c r="AO873" i="1"/>
  <c r="AN874" i="1"/>
  <c r="AO874" i="1"/>
  <c r="AN875" i="1"/>
  <c r="AO875" i="1"/>
  <c r="AN876" i="1"/>
  <c r="AO876" i="1"/>
  <c r="AN877" i="1"/>
  <c r="AO877" i="1"/>
  <c r="AN878" i="1"/>
  <c r="AO878" i="1"/>
  <c r="AN879" i="1"/>
  <c r="AO879" i="1"/>
  <c r="AN880" i="1"/>
  <c r="AO880" i="1"/>
  <c r="AN881" i="1"/>
  <c r="AO881" i="1"/>
  <c r="AN882" i="1"/>
  <c r="AO882" i="1"/>
  <c r="AN883" i="1"/>
  <c r="AO883" i="1"/>
  <c r="AN884" i="1"/>
  <c r="AO884" i="1"/>
  <c r="AN885" i="1"/>
  <c r="AO885" i="1"/>
  <c r="AN886" i="1"/>
  <c r="AO886" i="1"/>
  <c r="AN887" i="1"/>
  <c r="AO887" i="1"/>
  <c r="AN888" i="1"/>
  <c r="AO888" i="1"/>
  <c r="AN889" i="1"/>
  <c r="AO889" i="1"/>
  <c r="AN890" i="1"/>
  <c r="AO890" i="1"/>
  <c r="AN891" i="1"/>
  <c r="AO891" i="1"/>
  <c r="AN892" i="1"/>
  <c r="AO892" i="1"/>
  <c r="AN893" i="1"/>
  <c r="AO893" i="1"/>
  <c r="AN894" i="1"/>
  <c r="AO894" i="1"/>
  <c r="AN895" i="1"/>
  <c r="AO895" i="1"/>
  <c r="AN896" i="1"/>
  <c r="AO896" i="1"/>
  <c r="AN897" i="1"/>
  <c r="AO897" i="1"/>
  <c r="AN898" i="1"/>
  <c r="AO898" i="1"/>
  <c r="AN899" i="1"/>
  <c r="AO899" i="1"/>
  <c r="AN900" i="1"/>
  <c r="AO900" i="1"/>
  <c r="AN901" i="1"/>
  <c r="AO901" i="1"/>
  <c r="AN902" i="1"/>
  <c r="AO902" i="1"/>
  <c r="AN903" i="1"/>
  <c r="AO903" i="1"/>
  <c r="AN904" i="1"/>
  <c r="AO904" i="1"/>
  <c r="AN905" i="1"/>
  <c r="AO905" i="1"/>
  <c r="AN906" i="1"/>
  <c r="AO906" i="1"/>
  <c r="AN907" i="1"/>
  <c r="AO907" i="1"/>
  <c r="AN908" i="1"/>
  <c r="AO908" i="1"/>
  <c r="AN909" i="1"/>
  <c r="AO909" i="1"/>
  <c r="AN910" i="1"/>
  <c r="AO910" i="1"/>
  <c r="AN911" i="1"/>
  <c r="AO911" i="1"/>
  <c r="AN912" i="1"/>
  <c r="AO912" i="1"/>
  <c r="AN913" i="1"/>
  <c r="AO913" i="1"/>
  <c r="AN914" i="1"/>
  <c r="AO914" i="1"/>
  <c r="AN915" i="1"/>
  <c r="AO915" i="1"/>
  <c r="AN916" i="1"/>
  <c r="AO916" i="1"/>
  <c r="AN917" i="1"/>
  <c r="AO917" i="1"/>
  <c r="AN918" i="1"/>
  <c r="AO918" i="1"/>
  <c r="AN919" i="1"/>
  <c r="AO919" i="1"/>
  <c r="AN920" i="1"/>
  <c r="AO920" i="1"/>
  <c r="AN921" i="1"/>
  <c r="AO921" i="1"/>
  <c r="AN922" i="1"/>
  <c r="AO922" i="1"/>
  <c r="AN923" i="1"/>
  <c r="AO923" i="1"/>
  <c r="AN924" i="1"/>
  <c r="AO924" i="1"/>
  <c r="AN925" i="1"/>
  <c r="AO925" i="1"/>
  <c r="AN926" i="1"/>
  <c r="AO926" i="1"/>
  <c r="AQ926" i="1"/>
  <c r="AN927" i="1"/>
  <c r="AO927" i="1"/>
  <c r="AQ927" i="1"/>
  <c r="AN928" i="1"/>
  <c r="AO928" i="1"/>
  <c r="AQ928" i="1"/>
  <c r="AN929" i="1"/>
  <c r="AO929" i="1"/>
  <c r="AQ929" i="1"/>
  <c r="AN930" i="1"/>
  <c r="AO930" i="1"/>
  <c r="AQ930" i="1"/>
  <c r="AN931" i="1"/>
  <c r="AO931" i="1"/>
  <c r="AQ931" i="1"/>
  <c r="AN932" i="1"/>
  <c r="AO932" i="1"/>
  <c r="AQ932" i="1"/>
  <c r="AN933" i="1"/>
  <c r="AO933" i="1"/>
  <c r="AN934" i="1"/>
  <c r="AO934" i="1"/>
  <c r="AN935" i="1"/>
  <c r="AO935" i="1"/>
  <c r="AN936" i="1"/>
  <c r="AO936" i="1"/>
  <c r="AN937" i="1"/>
  <c r="AO937" i="1"/>
  <c r="AN938" i="1"/>
  <c r="AO938" i="1"/>
  <c r="AN939" i="1"/>
  <c r="AO939" i="1"/>
  <c r="AN940" i="1"/>
  <c r="AO940" i="1"/>
  <c r="AN941" i="1"/>
  <c r="AO941" i="1"/>
  <c r="AN942" i="1"/>
  <c r="AO942" i="1"/>
  <c r="AN943" i="1"/>
  <c r="AO943" i="1"/>
  <c r="AQ943" i="1"/>
  <c r="AN944" i="1"/>
  <c r="AO944" i="1"/>
  <c r="AN945" i="1"/>
  <c r="AO945" i="1"/>
  <c r="AN946" i="1"/>
  <c r="AO946" i="1"/>
  <c r="AN947" i="1"/>
  <c r="AO947" i="1"/>
  <c r="AN948" i="1"/>
  <c r="AO948" i="1"/>
  <c r="AN949" i="1"/>
  <c r="AO949" i="1"/>
  <c r="AN950" i="1"/>
  <c r="AO950" i="1"/>
  <c r="AN951" i="1"/>
  <c r="AO951" i="1"/>
  <c r="AN952" i="1"/>
  <c r="AO952" i="1"/>
  <c r="AN953" i="1"/>
  <c r="AO953" i="1"/>
  <c r="AN954" i="1"/>
  <c r="AO954" i="1"/>
  <c r="AN955" i="1"/>
  <c r="AO955" i="1"/>
  <c r="AN956" i="1"/>
  <c r="AO956" i="1"/>
  <c r="AN957" i="1"/>
  <c r="AO957" i="1"/>
  <c r="AN958" i="1"/>
  <c r="AO958" i="1"/>
  <c r="AN959" i="1"/>
  <c r="AO959" i="1"/>
  <c r="AN960" i="1"/>
  <c r="AO960" i="1"/>
  <c r="AN961" i="1"/>
  <c r="AO961" i="1"/>
  <c r="AN962" i="1"/>
  <c r="AO962" i="1"/>
  <c r="AN963" i="1"/>
  <c r="AO963" i="1"/>
  <c r="AN964" i="1"/>
  <c r="AO964" i="1"/>
  <c r="AN965" i="1"/>
  <c r="AO965" i="1"/>
  <c r="AN966" i="1"/>
  <c r="AO966" i="1"/>
  <c r="AN967" i="1"/>
  <c r="AO967" i="1"/>
  <c r="AN968" i="1"/>
  <c r="AO968" i="1"/>
  <c r="AN969" i="1"/>
  <c r="AO969" i="1"/>
  <c r="AN970" i="1"/>
  <c r="AO970" i="1"/>
  <c r="AN971" i="1"/>
  <c r="AO971" i="1"/>
  <c r="AN972" i="1"/>
  <c r="AO972" i="1"/>
  <c r="AN973" i="1"/>
  <c r="AO973" i="1"/>
  <c r="AN974" i="1"/>
  <c r="AO974" i="1"/>
  <c r="AN975" i="1"/>
  <c r="AO975" i="1"/>
  <c r="AN976" i="1"/>
  <c r="AO976" i="1"/>
  <c r="AN977" i="1"/>
  <c r="AO977" i="1"/>
  <c r="AN978" i="1"/>
  <c r="AO978" i="1"/>
  <c r="AN979" i="1"/>
  <c r="AO979" i="1"/>
  <c r="AN980" i="1"/>
  <c r="AO980" i="1"/>
  <c r="AN981" i="1"/>
  <c r="AO981" i="1"/>
  <c r="AN982" i="1"/>
  <c r="AO982" i="1"/>
  <c r="AN983" i="1"/>
  <c r="AO983" i="1"/>
  <c r="AN984" i="1"/>
  <c r="AO984" i="1"/>
  <c r="AN985" i="1"/>
  <c r="AO985" i="1"/>
  <c r="AN986" i="1"/>
  <c r="AO986" i="1"/>
  <c r="AN987" i="1"/>
  <c r="AO987" i="1"/>
  <c r="AN988" i="1"/>
  <c r="AO988" i="1"/>
  <c r="AN989" i="1"/>
  <c r="AO989" i="1"/>
  <c r="AN990" i="1"/>
  <c r="AO990" i="1"/>
  <c r="AN991" i="1"/>
  <c r="AO991" i="1"/>
  <c r="AN992" i="1"/>
  <c r="AO992" i="1"/>
  <c r="AN993" i="1"/>
  <c r="AO993" i="1"/>
  <c r="AN994" i="1"/>
  <c r="AO994" i="1"/>
  <c r="AN995" i="1"/>
  <c r="AO995" i="1"/>
  <c r="AN996" i="1"/>
  <c r="AO996" i="1"/>
  <c r="AN997" i="1"/>
  <c r="AO997" i="1"/>
  <c r="AN998" i="1"/>
  <c r="AO998" i="1"/>
  <c r="AN999" i="1"/>
  <c r="AO999" i="1"/>
  <c r="AN1000" i="1"/>
  <c r="AO1000" i="1"/>
  <c r="AN1001" i="1"/>
  <c r="AO1001" i="1"/>
  <c r="AN1002" i="1"/>
  <c r="AO1002" i="1"/>
  <c r="AN1003" i="1"/>
  <c r="AO1003" i="1"/>
  <c r="AN1004" i="1"/>
  <c r="AO1004" i="1"/>
  <c r="AN1008" i="1"/>
  <c r="AO1008" i="1"/>
  <c r="AN1009" i="1"/>
  <c r="AO1009" i="1"/>
  <c r="AN1010" i="1"/>
  <c r="AO1010" i="1"/>
  <c r="AN1011" i="1"/>
  <c r="AO1011" i="1"/>
  <c r="AO1012" i="1"/>
  <c r="AO1013" i="1"/>
  <c r="AO1014" i="1"/>
  <c r="AO1015" i="1"/>
  <c r="AN1016" i="1"/>
  <c r="AO1016" i="1"/>
  <c r="AO1017" i="1"/>
  <c r="AO1018" i="1"/>
  <c r="AO1019" i="1"/>
  <c r="AO1020" i="1"/>
  <c r="AO1021" i="1"/>
  <c r="AO1022" i="1"/>
  <c r="AN1023" i="1"/>
  <c r="AO1023" i="1"/>
  <c r="AN1024" i="1"/>
  <c r="AO1024" i="1"/>
  <c r="AN1025" i="1"/>
  <c r="AO1025" i="1"/>
  <c r="AN1026" i="1"/>
  <c r="AO1026" i="1"/>
  <c r="AN1027" i="1"/>
  <c r="AO1027" i="1"/>
  <c r="AN1028" i="1"/>
  <c r="AO1028" i="1"/>
  <c r="AO1029" i="1"/>
  <c r="AN1030" i="1"/>
  <c r="AO1030" i="1"/>
  <c r="AN1031" i="1"/>
  <c r="AO1031" i="1"/>
  <c r="AN1032" i="1"/>
  <c r="AO1032" i="1"/>
  <c r="AN1033" i="1"/>
  <c r="AO1033" i="1"/>
  <c r="AN1034" i="1"/>
  <c r="AO1034" i="1"/>
  <c r="AN1035" i="1"/>
  <c r="AO1035" i="1"/>
  <c r="AN1036" i="1"/>
  <c r="AO1036" i="1"/>
  <c r="AN1037" i="1"/>
  <c r="AO1037" i="1"/>
  <c r="AN1038" i="1"/>
  <c r="AO1038" i="1"/>
  <c r="AN1039" i="1"/>
  <c r="AO1039" i="1"/>
  <c r="AN1040" i="1"/>
  <c r="AO1040" i="1"/>
  <c r="AN1041" i="1"/>
  <c r="AO1041" i="1"/>
  <c r="AN1042" i="1"/>
  <c r="AO1042" i="1"/>
  <c r="AN1043" i="1"/>
  <c r="AO1043" i="1"/>
  <c r="AN1044" i="1"/>
  <c r="AO1044" i="1"/>
  <c r="AN1045" i="1"/>
  <c r="AO1045" i="1"/>
  <c r="AN1046" i="1"/>
  <c r="AO1046" i="1"/>
  <c r="AN1047" i="1"/>
  <c r="AO1047" i="1"/>
  <c r="AN1048" i="1"/>
  <c r="AO1048" i="1"/>
  <c r="AN1049" i="1"/>
  <c r="AO1049" i="1"/>
  <c r="AN1050" i="1"/>
  <c r="AO1050" i="1"/>
  <c r="AN1051" i="1"/>
  <c r="AO1051" i="1"/>
  <c r="AN1052" i="1"/>
  <c r="AO1052" i="1"/>
  <c r="AN1053" i="1"/>
  <c r="AO1053" i="1"/>
  <c r="AN1054" i="1"/>
  <c r="AO1054" i="1"/>
  <c r="AN1055" i="1"/>
  <c r="AO1055" i="1"/>
  <c r="AN1056" i="1"/>
  <c r="AO1056" i="1"/>
  <c r="AN1057" i="1"/>
  <c r="AO1057" i="1"/>
  <c r="AN1058" i="1"/>
  <c r="AO1058" i="1"/>
  <c r="AN1059" i="1"/>
  <c r="AO1059" i="1"/>
  <c r="AN1060" i="1"/>
  <c r="AO1060" i="1"/>
  <c r="AN1061" i="1"/>
  <c r="AO1061" i="1"/>
  <c r="AN1062" i="1"/>
  <c r="AO1062" i="1"/>
  <c r="AN1063" i="1"/>
  <c r="AO1063" i="1"/>
  <c r="AN1065" i="1"/>
  <c r="AO1065" i="1"/>
  <c r="AN1066" i="1"/>
  <c r="AO1066" i="1"/>
  <c r="AN1067" i="1"/>
  <c r="AO1067" i="1"/>
  <c r="AN1068" i="1"/>
  <c r="AO1068" i="1"/>
  <c r="AN1069" i="1"/>
  <c r="AO1069" i="1"/>
  <c r="AN1070" i="1"/>
  <c r="AO1070" i="1"/>
  <c r="AN1071" i="1"/>
  <c r="AO1071" i="1"/>
  <c r="AN1072" i="1"/>
  <c r="AO1072" i="1"/>
  <c r="AN1073" i="1"/>
  <c r="AO1073" i="1"/>
  <c r="AN1074" i="1"/>
  <c r="AO1074" i="1"/>
  <c r="AN1075" i="1"/>
  <c r="AO1075" i="1"/>
  <c r="AN1076" i="1"/>
  <c r="AO1076" i="1"/>
  <c r="AN1077" i="1"/>
  <c r="AO1077" i="1"/>
  <c r="AN1078" i="1"/>
  <c r="AO1078" i="1"/>
  <c r="AN1079" i="1"/>
  <c r="AO1079" i="1"/>
  <c r="AN1080" i="1"/>
  <c r="AO1080" i="1"/>
  <c r="AN1081" i="1"/>
  <c r="AO1081" i="1"/>
  <c r="AN1082" i="1"/>
  <c r="AO1082" i="1"/>
  <c r="AN1083" i="1"/>
  <c r="AO1083" i="1"/>
  <c r="AN1084" i="1"/>
  <c r="AO1084" i="1"/>
  <c r="AN1085" i="1"/>
  <c r="AO1085" i="1"/>
  <c r="AN1086" i="1"/>
  <c r="AO1086" i="1"/>
  <c r="AN1087" i="1"/>
  <c r="AO1087" i="1"/>
  <c r="AN1088" i="1"/>
  <c r="AO1088" i="1"/>
  <c r="AN1089" i="1"/>
  <c r="AO1089" i="1"/>
  <c r="AO1090" i="1"/>
  <c r="AN1091" i="1"/>
  <c r="AO1091" i="1"/>
  <c r="AN1092" i="1"/>
  <c r="AO1092" i="1"/>
  <c r="AN1093" i="1"/>
  <c r="AO1093" i="1"/>
  <c r="AN1094" i="1"/>
  <c r="AO1094" i="1"/>
  <c r="AN1095" i="1"/>
  <c r="AO1095" i="1"/>
  <c r="AN1096" i="1"/>
  <c r="AO1096" i="1"/>
  <c r="AN1097" i="1"/>
  <c r="AO1097" i="1"/>
  <c r="AN1098" i="1"/>
  <c r="AO1098" i="1"/>
  <c r="AN1099" i="1"/>
  <c r="AO1099" i="1"/>
  <c r="AN1100" i="1"/>
  <c r="AO1100" i="1"/>
  <c r="AN1101" i="1"/>
  <c r="AO1101" i="1"/>
  <c r="AN1102" i="1"/>
  <c r="AO1102" i="1"/>
  <c r="AN1103" i="1"/>
  <c r="AO1103" i="1"/>
  <c r="AN1104" i="1"/>
  <c r="AO1104" i="1"/>
  <c r="AN1105" i="1"/>
  <c r="AO1105" i="1"/>
  <c r="AN1106" i="1"/>
  <c r="AO1106" i="1"/>
  <c r="AN1107" i="1"/>
  <c r="AO1107" i="1"/>
  <c r="AN1108" i="1"/>
  <c r="AO1108" i="1"/>
  <c r="AN1109" i="1"/>
  <c r="AO1109" i="1"/>
  <c r="AN1110" i="1"/>
  <c r="AO1110" i="1"/>
  <c r="AN1111" i="1"/>
  <c r="AO1111" i="1"/>
  <c r="AN1112" i="1"/>
  <c r="AO1112" i="1"/>
  <c r="AN1113" i="1"/>
  <c r="AO1113" i="1"/>
  <c r="AN1114" i="1"/>
  <c r="AO1114" i="1"/>
  <c r="AN1115" i="1"/>
  <c r="AO1115" i="1"/>
  <c r="AN1116" i="1"/>
  <c r="AO1116" i="1"/>
  <c r="AN1117" i="1"/>
  <c r="AO1117" i="1"/>
  <c r="AN1118" i="1"/>
  <c r="AO1118" i="1"/>
  <c r="AN1119" i="1"/>
  <c r="AO1119" i="1"/>
  <c r="AN1120" i="1"/>
  <c r="AO1120" i="1"/>
  <c r="AN1121" i="1"/>
  <c r="AO1121" i="1"/>
  <c r="AN1122" i="1"/>
  <c r="AO1122" i="1"/>
  <c r="AN1123" i="1"/>
  <c r="AO1123" i="1"/>
  <c r="AN1124" i="1"/>
  <c r="AO1124" i="1"/>
  <c r="AN1125" i="1"/>
  <c r="AO1125" i="1"/>
  <c r="AN1126" i="1"/>
  <c r="AO1126" i="1"/>
  <c r="AN1127" i="1"/>
  <c r="AO1127" i="1"/>
  <c r="AN1128" i="1"/>
  <c r="AO1128" i="1"/>
  <c r="AN1129" i="1"/>
  <c r="AO1129" i="1"/>
  <c r="AN1130" i="1"/>
  <c r="AO1130" i="1"/>
  <c r="AN1131" i="1"/>
  <c r="AO1131" i="1"/>
  <c r="AN1132" i="1"/>
  <c r="AO1132" i="1"/>
  <c r="AN1133" i="1"/>
  <c r="AO1133" i="1"/>
  <c r="AN1134" i="1"/>
  <c r="AO1134" i="1"/>
  <c r="AN1135" i="1"/>
  <c r="AO1135" i="1"/>
  <c r="AN1136" i="1"/>
  <c r="AO1136" i="1"/>
  <c r="AN1137" i="1"/>
  <c r="AO1137" i="1"/>
  <c r="AN1138" i="1"/>
  <c r="AO1138" i="1"/>
  <c r="AN1139" i="1"/>
  <c r="AO1139" i="1"/>
  <c r="AN1140" i="1"/>
  <c r="AO1140" i="1"/>
  <c r="AN1141" i="1"/>
  <c r="AO1141" i="1"/>
  <c r="AN1142" i="1"/>
  <c r="AO1142" i="1"/>
  <c r="AN1143" i="1"/>
  <c r="AO1143" i="1"/>
  <c r="AN1144" i="1"/>
  <c r="AO1144" i="1"/>
  <c r="AN1145" i="1"/>
  <c r="AO1145" i="1"/>
  <c r="AN1146" i="1"/>
  <c r="AO1146" i="1"/>
  <c r="AN1147" i="1"/>
  <c r="AO1147" i="1"/>
  <c r="AN1148" i="1"/>
  <c r="AO1148" i="1"/>
  <c r="AN1149" i="1"/>
  <c r="AO1149" i="1"/>
  <c r="AN1150" i="1"/>
  <c r="AO1150" i="1"/>
  <c r="AN1151" i="1"/>
  <c r="AO1151" i="1"/>
  <c r="AN1152" i="1"/>
  <c r="AO1152" i="1"/>
  <c r="AN1153" i="1"/>
  <c r="AO1153" i="1"/>
  <c r="AN1154" i="1"/>
  <c r="AO1154" i="1"/>
  <c r="AN1155" i="1"/>
  <c r="AO1155" i="1"/>
  <c r="AN1156" i="1"/>
  <c r="AO1156" i="1"/>
  <c r="AN1157" i="1"/>
  <c r="AO1157" i="1"/>
  <c r="AN1158" i="1"/>
  <c r="AO1158" i="1"/>
  <c r="AN1159" i="1"/>
  <c r="AO1159" i="1"/>
  <c r="AN1160" i="1"/>
  <c r="AO1160" i="1"/>
  <c r="AN1161" i="1"/>
  <c r="AO1161" i="1"/>
  <c r="AN1162" i="1"/>
  <c r="AO1162" i="1"/>
  <c r="AN1163" i="1"/>
  <c r="AO1163" i="1"/>
  <c r="AN1164" i="1"/>
  <c r="AO1164" i="1"/>
  <c r="AN1165" i="1"/>
  <c r="AO1165" i="1"/>
  <c r="AN1166" i="1"/>
  <c r="AO1166" i="1"/>
  <c r="AN1167" i="1"/>
  <c r="AO1167" i="1"/>
  <c r="AN1168" i="1"/>
  <c r="AO1168" i="1"/>
  <c r="AN1169" i="1"/>
  <c r="AO1169" i="1"/>
  <c r="AN1170" i="1"/>
  <c r="AO1170" i="1"/>
  <c r="AN1171" i="1"/>
  <c r="AO1171" i="1"/>
  <c r="AN1172" i="1"/>
  <c r="AO1172" i="1"/>
  <c r="AN1173" i="1"/>
  <c r="AO1173" i="1"/>
  <c r="AN1174" i="1"/>
  <c r="AO1174" i="1"/>
  <c r="AN1175" i="1"/>
  <c r="AO1175" i="1"/>
  <c r="AN1176" i="1"/>
  <c r="AO1176" i="1"/>
  <c r="AN1177" i="1"/>
  <c r="AO1177" i="1"/>
  <c r="AN1178" i="1"/>
  <c r="AO1178" i="1"/>
  <c r="AN1179" i="1"/>
  <c r="AO1179" i="1"/>
  <c r="AN1180" i="1"/>
  <c r="AO1180" i="1"/>
  <c r="AN1181" i="1"/>
  <c r="AO1181" i="1"/>
  <c r="AN1182" i="1"/>
  <c r="AO1182" i="1"/>
  <c r="AN1183" i="1"/>
  <c r="AO1183" i="1"/>
  <c r="AN1184" i="1"/>
  <c r="AO1184" i="1"/>
  <c r="AN1185" i="1"/>
  <c r="AO1185" i="1"/>
  <c r="AN1186" i="1"/>
  <c r="AO1186" i="1"/>
  <c r="AN1187" i="1"/>
  <c r="AO1187" i="1"/>
  <c r="AN1188" i="1"/>
  <c r="AO1188" i="1"/>
  <c r="AN1189" i="1"/>
  <c r="AO1189" i="1"/>
  <c r="AN1190" i="1"/>
  <c r="AO1190" i="1"/>
  <c r="AN1191" i="1"/>
  <c r="AO1191" i="1"/>
  <c r="AN1192" i="1"/>
  <c r="AO1192" i="1"/>
  <c r="AN1193" i="1"/>
  <c r="AO1193" i="1"/>
  <c r="AN1194" i="1"/>
  <c r="AO1194" i="1"/>
  <c r="AN1195" i="1"/>
  <c r="AO1195" i="1"/>
  <c r="AN1196" i="1"/>
  <c r="AO1196" i="1"/>
  <c r="AN1197" i="1"/>
  <c r="AO1197" i="1"/>
  <c r="AN1198" i="1"/>
  <c r="AO1198" i="1"/>
  <c r="AN1199" i="1"/>
  <c r="AO1199" i="1"/>
  <c r="AN1200" i="1"/>
  <c r="AO1200" i="1"/>
  <c r="AN1201" i="1"/>
  <c r="AO1201" i="1"/>
  <c r="AN1202" i="1"/>
  <c r="AO1202" i="1"/>
  <c r="AN1203" i="1"/>
  <c r="AO1203" i="1"/>
  <c r="AN1204" i="1"/>
  <c r="AO1204" i="1"/>
  <c r="AN1205" i="1"/>
  <c r="AO1205" i="1"/>
  <c r="AN1206" i="1"/>
  <c r="AO1206" i="1"/>
  <c r="AN1207" i="1"/>
  <c r="AO1207" i="1"/>
  <c r="AN1208" i="1"/>
  <c r="AO1208" i="1"/>
  <c r="AN1209" i="1"/>
  <c r="AO1209" i="1"/>
  <c r="AN1210" i="1"/>
  <c r="AO1210" i="1"/>
  <c r="AN1211" i="1"/>
  <c r="AO1211" i="1"/>
  <c r="AN1212" i="1"/>
  <c r="AO1212" i="1"/>
  <c r="AN1213" i="1"/>
  <c r="AO1213" i="1"/>
  <c r="AN1214" i="1"/>
  <c r="AO1214" i="1"/>
  <c r="AN1215" i="1"/>
  <c r="AO1215" i="1"/>
  <c r="AN1216" i="1"/>
  <c r="AO1216" i="1"/>
  <c r="AN1217" i="1"/>
  <c r="AO1217" i="1"/>
  <c r="AN1218" i="1"/>
  <c r="AO1218" i="1"/>
  <c r="AN1219" i="1"/>
  <c r="AO1219" i="1"/>
  <c r="AN1220" i="1"/>
  <c r="AO1220" i="1"/>
  <c r="AN1221" i="1"/>
  <c r="AO1221" i="1"/>
  <c r="AN1222" i="1"/>
  <c r="AO1222" i="1"/>
  <c r="AN1223" i="1"/>
  <c r="AO1223" i="1"/>
  <c r="AN1224" i="1"/>
  <c r="AO1224" i="1"/>
  <c r="AN1226" i="1"/>
  <c r="AO1226" i="1"/>
  <c r="AN1230" i="1"/>
  <c r="AO1230" i="1"/>
  <c r="AN1232" i="1"/>
  <c r="AO1232" i="1"/>
  <c r="AN1235" i="1"/>
  <c r="AO1235" i="1"/>
  <c r="AN1236" i="1"/>
  <c r="AO1236" i="1"/>
  <c r="AN1237" i="1"/>
  <c r="AO1237" i="1"/>
  <c r="AN1238" i="1"/>
  <c r="AO1238" i="1"/>
  <c r="AN1239" i="1"/>
  <c r="AO1239" i="1"/>
  <c r="AN1240" i="1"/>
  <c r="AO1240" i="1"/>
  <c r="AN1241" i="1"/>
  <c r="AO1241" i="1"/>
  <c r="AN1242" i="1"/>
  <c r="AO1242" i="1"/>
  <c r="AN1243" i="1"/>
  <c r="AO1243" i="1"/>
  <c r="AN1244" i="1"/>
  <c r="AO1244" i="1"/>
  <c r="AN1245" i="1"/>
  <c r="AO1245" i="1"/>
  <c r="AN1246" i="1"/>
  <c r="AO1246" i="1"/>
  <c r="AN1247" i="1"/>
  <c r="AO1247" i="1"/>
  <c r="AN1248" i="1"/>
  <c r="AO1248" i="1"/>
  <c r="AN1249" i="1"/>
  <c r="AO1249" i="1"/>
  <c r="AN1250" i="1"/>
  <c r="AO1250" i="1"/>
  <c r="AN1251" i="1"/>
  <c r="AO1251" i="1"/>
  <c r="AN1252" i="1"/>
  <c r="AO1252" i="1"/>
  <c r="AN1253" i="1"/>
  <c r="AO1253" i="1"/>
  <c r="AN1254" i="1"/>
  <c r="AO1254" i="1"/>
  <c r="AN1255" i="1"/>
  <c r="AO1255" i="1"/>
  <c r="AN1256" i="1"/>
  <c r="AO1256" i="1"/>
  <c r="AN1257" i="1"/>
  <c r="AO1257" i="1"/>
  <c r="AN1258" i="1"/>
  <c r="AO1258" i="1"/>
  <c r="AN1259" i="1"/>
  <c r="AO1259" i="1"/>
  <c r="AN1260" i="1"/>
  <c r="AO1260" i="1"/>
  <c r="AN1261" i="1"/>
  <c r="AO1261" i="1"/>
  <c r="AN1262" i="1"/>
  <c r="AO1262" i="1"/>
  <c r="AN1263" i="1"/>
  <c r="AO1263" i="1"/>
  <c r="AN1264" i="1"/>
  <c r="AO1264" i="1"/>
  <c r="AN1265" i="1"/>
  <c r="AO1265" i="1"/>
  <c r="AN1266" i="1"/>
  <c r="AO1266" i="1"/>
  <c r="AN1267" i="1"/>
  <c r="AO1267" i="1"/>
  <c r="AN1268" i="1"/>
  <c r="AO1268" i="1"/>
  <c r="AN1269" i="1"/>
  <c r="AO1269" i="1"/>
  <c r="AN1270" i="1"/>
  <c r="AO1270" i="1"/>
  <c r="AN1271" i="1"/>
  <c r="AO1271" i="1"/>
  <c r="AN1272" i="1"/>
  <c r="AO1272" i="1"/>
  <c r="AN1273" i="1"/>
  <c r="AO1273" i="1"/>
  <c r="AN1274" i="1"/>
  <c r="AO1274" i="1"/>
  <c r="AN1275" i="1"/>
  <c r="AO1275" i="1"/>
  <c r="AN1276" i="1"/>
  <c r="AO1276" i="1"/>
  <c r="AN1277" i="1"/>
  <c r="AO1277" i="1"/>
  <c r="AN1278" i="1"/>
  <c r="AO1278" i="1"/>
  <c r="AN1279" i="1"/>
  <c r="AO1279" i="1"/>
  <c r="AN1280" i="1"/>
  <c r="AO1280" i="1"/>
  <c r="AN1281" i="1"/>
  <c r="AO1281" i="1"/>
  <c r="AN1282" i="1"/>
  <c r="AO1282" i="1"/>
  <c r="AN1283" i="1"/>
  <c r="AO1283" i="1"/>
  <c r="AN1284" i="1"/>
  <c r="AO1284" i="1"/>
  <c r="AN1285" i="1"/>
  <c r="AO1285" i="1"/>
  <c r="AN1286" i="1"/>
  <c r="AO1286" i="1"/>
  <c r="AN1287" i="1"/>
  <c r="AO1287" i="1"/>
  <c r="AN1288" i="1"/>
  <c r="AO1288" i="1"/>
  <c r="AN1289" i="1"/>
  <c r="AO1289" i="1"/>
  <c r="AN1290" i="1"/>
  <c r="AO1290" i="1"/>
  <c r="AN1291" i="1"/>
  <c r="AO1291" i="1"/>
  <c r="AN1292" i="1"/>
  <c r="AO1292" i="1"/>
  <c r="AN1293" i="1"/>
  <c r="AO1293" i="1"/>
  <c r="AN1294" i="1"/>
  <c r="AO1294" i="1"/>
  <c r="AN1295" i="1"/>
  <c r="AO1295" i="1"/>
  <c r="AN1296" i="1"/>
  <c r="AO1296" i="1"/>
  <c r="AN1297" i="1"/>
  <c r="AO1297" i="1"/>
  <c r="AN1298" i="1"/>
  <c r="AO1298" i="1"/>
  <c r="AN1299" i="1"/>
  <c r="AO1299" i="1"/>
  <c r="AN1300" i="1"/>
  <c r="AO1300" i="1"/>
  <c r="AN1301" i="1"/>
  <c r="AO1301" i="1"/>
  <c r="AN1302" i="1"/>
  <c r="AO1302" i="1"/>
  <c r="AN1303" i="1"/>
  <c r="AO1303" i="1"/>
  <c r="AN1304" i="1"/>
  <c r="AO1304" i="1"/>
  <c r="AN1305" i="1"/>
  <c r="AO1305" i="1"/>
  <c r="AO1306" i="1"/>
  <c r="AN1307" i="1"/>
  <c r="AO1307" i="1"/>
  <c r="AN1308" i="1"/>
  <c r="AO1308" i="1"/>
  <c r="AN1309" i="1"/>
  <c r="AO1309" i="1"/>
  <c r="AN1310" i="1"/>
  <c r="AO1310" i="1"/>
  <c r="AN1311" i="1"/>
  <c r="AO1311" i="1"/>
  <c r="AN1312" i="1"/>
  <c r="AO1312" i="1"/>
  <c r="AN1313" i="1"/>
  <c r="AO1313" i="1"/>
  <c r="AN1314" i="1"/>
  <c r="AO1314" i="1"/>
  <c r="AN1315" i="1"/>
  <c r="AO1315" i="1"/>
  <c r="AN1316" i="1"/>
  <c r="AO1316" i="1"/>
  <c r="AN1317" i="1"/>
  <c r="AO1317" i="1"/>
  <c r="AN1318" i="1"/>
  <c r="AN1319" i="1"/>
  <c r="AO1319" i="1"/>
  <c r="AN1320" i="1"/>
  <c r="AO1320" i="1"/>
  <c r="AN1321" i="1"/>
  <c r="AO1321" i="1"/>
  <c r="AN1322" i="1"/>
  <c r="AO1322" i="1"/>
  <c r="AN1323" i="1"/>
  <c r="AO1323" i="1"/>
  <c r="AN1324" i="1"/>
  <c r="AO1324" i="1"/>
  <c r="AN1325" i="1"/>
  <c r="AO1325" i="1"/>
  <c r="AN1326" i="1"/>
  <c r="AO1326" i="1"/>
  <c r="AN1327" i="1"/>
  <c r="AO1327" i="1"/>
  <c r="AN1328" i="1"/>
  <c r="AO1328" i="1"/>
  <c r="AN1329" i="1"/>
  <c r="AO1329" i="1"/>
  <c r="AN1330" i="1"/>
  <c r="AO1330" i="1"/>
  <c r="AN1331" i="1"/>
  <c r="AO1331" i="1"/>
  <c r="AN1332" i="1"/>
  <c r="AO1332" i="1"/>
  <c r="AN1333" i="1"/>
  <c r="AO1333" i="1"/>
  <c r="AN1334" i="1"/>
  <c r="AO1334" i="1"/>
  <c r="AO1335" i="1"/>
  <c r="AN1337" i="1"/>
  <c r="AO1337" i="1"/>
  <c r="AO1338" i="1"/>
  <c r="AO1339" i="1"/>
  <c r="AN1341" i="1"/>
  <c r="AO1341" i="1"/>
  <c r="AN1342" i="1"/>
  <c r="AO1342" i="1"/>
  <c r="AN1343" i="1"/>
  <c r="AO1343" i="1"/>
  <c r="AN1344" i="1"/>
  <c r="AO1344" i="1"/>
  <c r="AN1346" i="1"/>
  <c r="AO1346" i="1"/>
  <c r="AN1347" i="1"/>
  <c r="AO1347" i="1"/>
  <c r="AN1348" i="1"/>
  <c r="AO1348" i="1"/>
  <c r="AN1350" i="1"/>
  <c r="AO1350" i="1"/>
  <c r="AN1351" i="1"/>
  <c r="AO1351" i="1"/>
  <c r="AN1352" i="1"/>
  <c r="AO1352" i="1"/>
  <c r="AN1353" i="1"/>
  <c r="AO1353" i="1"/>
  <c r="AN1354" i="1"/>
  <c r="AO1354" i="1"/>
  <c r="AN1356" i="1"/>
  <c r="AO1356" i="1"/>
  <c r="AN1357" i="1"/>
  <c r="AO1357" i="1"/>
  <c r="AN1358" i="1"/>
  <c r="AO1358" i="1"/>
  <c r="AN1360" i="1"/>
  <c r="AO1360" i="1"/>
  <c r="AN1361" i="1"/>
  <c r="AO1361" i="1"/>
  <c r="AN1362" i="1"/>
  <c r="AO1362" i="1"/>
  <c r="AN1363" i="1"/>
  <c r="AO1363" i="1"/>
  <c r="AN1364" i="1"/>
  <c r="AO1364" i="1"/>
  <c r="AN1365" i="1"/>
  <c r="AO1365" i="1"/>
  <c r="AN1366" i="1"/>
  <c r="AO1366" i="1"/>
  <c r="AN1367" i="1"/>
  <c r="AO1367" i="1"/>
  <c r="AN1368" i="1"/>
  <c r="AO1368" i="1"/>
  <c r="AN1369" i="1"/>
  <c r="AO1369" i="1"/>
  <c r="AN1370" i="1"/>
  <c r="AO1370" i="1"/>
  <c r="AN1371" i="1"/>
  <c r="AO1371" i="1"/>
  <c r="AN1372" i="1"/>
  <c r="AO1372" i="1"/>
  <c r="AN1373" i="1"/>
  <c r="AO1373" i="1"/>
  <c r="AN1374" i="1"/>
  <c r="AO1374" i="1"/>
  <c r="AN1375" i="1"/>
  <c r="AO1375" i="1"/>
  <c r="AN1376" i="1"/>
  <c r="AO1376" i="1"/>
  <c r="AN1377" i="1"/>
  <c r="AO1377" i="1"/>
  <c r="AN1378" i="1"/>
  <c r="AO1378" i="1"/>
  <c r="AN1379" i="1"/>
  <c r="AO1379" i="1"/>
  <c r="AN1380" i="1"/>
  <c r="AO1380" i="1"/>
  <c r="AN1381" i="1"/>
  <c r="AO1381" i="1"/>
  <c r="AN1382" i="1"/>
  <c r="AO1382" i="1"/>
  <c r="AN1384" i="1"/>
  <c r="AO1384" i="1"/>
  <c r="AN1385" i="1"/>
  <c r="AO1385" i="1"/>
  <c r="AN1387" i="1"/>
  <c r="AO1387" i="1"/>
  <c r="AN1388" i="1"/>
  <c r="AO1388" i="1"/>
  <c r="AN1389" i="1"/>
  <c r="AO1389" i="1"/>
  <c r="AN1390" i="1"/>
  <c r="AO1390" i="1"/>
  <c r="AN1391" i="1"/>
  <c r="AO1391" i="1"/>
  <c r="AN1392" i="1"/>
  <c r="AO1392" i="1"/>
  <c r="AN1393" i="1"/>
  <c r="AO1393" i="1"/>
  <c r="AN1394" i="1"/>
  <c r="AO1394" i="1"/>
  <c r="AN1395" i="1"/>
  <c r="AO1395" i="1"/>
  <c r="AN1396" i="1"/>
  <c r="AO1396" i="1"/>
  <c r="AN1397" i="1"/>
  <c r="AO1397" i="1"/>
  <c r="AN1398" i="1"/>
  <c r="AO1398" i="1"/>
  <c r="AN1399" i="1"/>
  <c r="AO1399" i="1"/>
  <c r="AN1400" i="1"/>
  <c r="AO1400" i="1"/>
  <c r="AN1401" i="1"/>
  <c r="AO1401" i="1"/>
  <c r="AN1402" i="1"/>
  <c r="AO1402" i="1"/>
  <c r="AN1403" i="1"/>
  <c r="AO1403" i="1"/>
  <c r="AN1404" i="1"/>
  <c r="AO1404" i="1"/>
  <c r="AN1405" i="1"/>
  <c r="AO1405" i="1"/>
  <c r="AN1406" i="1"/>
  <c r="AO1406" i="1"/>
  <c r="AN1407" i="1"/>
  <c r="AO1407" i="1"/>
  <c r="AN1408" i="1"/>
  <c r="AO1408" i="1"/>
  <c r="AN1409" i="1"/>
  <c r="AO1409" i="1"/>
  <c r="AN1410" i="1"/>
  <c r="AO1410" i="1"/>
  <c r="AN1411" i="1"/>
  <c r="AO1411" i="1"/>
  <c r="AN1412" i="1"/>
  <c r="AO1412" i="1"/>
  <c r="AN1413" i="1"/>
  <c r="AO1413" i="1"/>
  <c r="AN1414" i="1"/>
  <c r="AO1414" i="1"/>
  <c r="AN1415" i="1"/>
  <c r="AO1415" i="1"/>
  <c r="AN1416" i="1"/>
  <c r="AO1416" i="1"/>
  <c r="AN1417" i="1"/>
  <c r="AO1417" i="1"/>
  <c r="AN1418" i="1"/>
  <c r="AO1418" i="1"/>
  <c r="AN1419" i="1"/>
  <c r="AO1419" i="1"/>
  <c r="AN1420" i="1"/>
  <c r="AO1420" i="1"/>
  <c r="AN1421" i="1"/>
  <c r="AO1421" i="1"/>
  <c r="AN1422" i="1"/>
  <c r="AO1422" i="1"/>
  <c r="AN1423" i="1"/>
  <c r="AO1423" i="1"/>
  <c r="AN1424" i="1"/>
  <c r="AO1424" i="1"/>
  <c r="AN1425" i="1"/>
  <c r="AO1425" i="1"/>
  <c r="AN1426" i="1"/>
  <c r="AO1426" i="1"/>
  <c r="AN1427" i="1"/>
  <c r="AO1427" i="1"/>
  <c r="AN1428" i="1"/>
  <c r="AO1428" i="1"/>
  <c r="AN1429" i="1"/>
  <c r="AO1429" i="1"/>
  <c r="AN1430" i="1"/>
  <c r="AO1430" i="1"/>
  <c r="AN1431" i="1"/>
  <c r="AO1431" i="1"/>
  <c r="AN1432" i="1"/>
  <c r="AO1432" i="1"/>
  <c r="AN1433" i="1"/>
  <c r="AO1433" i="1"/>
  <c r="AN1434" i="1"/>
  <c r="AO1434" i="1"/>
  <c r="AN1435" i="1"/>
  <c r="AO1435" i="1"/>
  <c r="AN1436" i="1"/>
  <c r="AO1436" i="1"/>
  <c r="AN1437" i="1"/>
  <c r="AO1437" i="1"/>
  <c r="AN1438" i="1"/>
  <c r="AO1438" i="1"/>
  <c r="AN1439" i="1"/>
  <c r="AO1439" i="1"/>
  <c r="AN1440" i="1"/>
  <c r="AO1440" i="1"/>
  <c r="AN1441" i="1"/>
  <c r="AO1441" i="1"/>
  <c r="AN1442" i="1"/>
  <c r="AO1442" i="1"/>
  <c r="AN1443" i="1"/>
  <c r="AO1443" i="1"/>
  <c r="AN1444" i="1"/>
  <c r="AO1444" i="1"/>
  <c r="AN1445" i="1"/>
  <c r="AO1445" i="1"/>
  <c r="AN1446" i="1"/>
  <c r="AO1446" i="1"/>
  <c r="AN1447" i="1"/>
  <c r="AO1447" i="1"/>
  <c r="AN1448" i="1"/>
  <c r="AO1448" i="1"/>
  <c r="AN1449" i="1"/>
  <c r="AO1449" i="1"/>
  <c r="AN1450" i="1"/>
  <c r="AO1450" i="1"/>
  <c r="AN1451" i="1"/>
  <c r="AO1451" i="1"/>
  <c r="AN1452" i="1"/>
  <c r="AO1452" i="1"/>
  <c r="AN1453" i="1"/>
  <c r="AO1453" i="1"/>
  <c r="AN1454" i="1"/>
  <c r="AO1454" i="1"/>
  <c r="AN1455" i="1"/>
  <c r="AO1455" i="1"/>
  <c r="AN1456" i="1"/>
  <c r="AO1456" i="1"/>
  <c r="AN1457" i="1"/>
  <c r="AO1457" i="1"/>
  <c r="AN1458" i="1"/>
  <c r="AO1458" i="1"/>
  <c r="AN1459" i="1"/>
  <c r="AO1459" i="1"/>
  <c r="AN1460" i="1"/>
  <c r="AO1460" i="1"/>
  <c r="AN1461" i="1"/>
  <c r="AO1461" i="1"/>
  <c r="AN1462" i="1"/>
  <c r="AO1462" i="1"/>
  <c r="AN1463" i="1"/>
  <c r="AO1463" i="1"/>
  <c r="AN1464" i="1"/>
  <c r="AO1464" i="1"/>
  <c r="AN1465" i="1"/>
  <c r="AO1465" i="1"/>
  <c r="AN1466" i="1"/>
  <c r="AO1466" i="1"/>
  <c r="AN1467" i="1"/>
  <c r="AO1467" i="1"/>
  <c r="AN1468" i="1"/>
  <c r="AO1468" i="1"/>
  <c r="AN1469" i="1"/>
  <c r="AO1469" i="1"/>
  <c r="AN1470" i="1"/>
  <c r="AO1470" i="1"/>
  <c r="AN1471" i="1"/>
  <c r="AO1471" i="1"/>
  <c r="AN1472" i="1"/>
  <c r="AO1472" i="1"/>
  <c r="AN1473" i="1"/>
  <c r="AO1473" i="1"/>
  <c r="AN1474" i="1"/>
  <c r="AO1474" i="1"/>
  <c r="AN1475" i="1"/>
  <c r="AO1475" i="1"/>
  <c r="AN1476" i="1"/>
  <c r="AO1476" i="1"/>
  <c r="AN1477" i="1"/>
  <c r="AO1477" i="1"/>
  <c r="AN1478" i="1"/>
  <c r="AO1478" i="1"/>
  <c r="AN1479" i="1"/>
  <c r="AO1479" i="1"/>
  <c r="AN1480" i="1"/>
  <c r="AO1480" i="1"/>
  <c r="AN1481" i="1"/>
  <c r="AO1481" i="1"/>
  <c r="AN1482" i="1"/>
  <c r="AO1482" i="1"/>
  <c r="AN1483" i="1"/>
  <c r="AO1483" i="1"/>
  <c r="AN1484" i="1"/>
  <c r="AO1484" i="1"/>
  <c r="AN1485" i="1"/>
  <c r="AO1485" i="1"/>
  <c r="AN1486" i="1"/>
  <c r="AO1486" i="1"/>
  <c r="AN1487" i="1"/>
  <c r="AO1487" i="1"/>
  <c r="AN1488" i="1"/>
  <c r="AO1488" i="1"/>
  <c r="AN1489" i="1"/>
  <c r="AO1489" i="1"/>
  <c r="AN1490" i="1"/>
  <c r="AO1490" i="1"/>
  <c r="AN1491" i="1"/>
  <c r="AO1491" i="1"/>
  <c r="AN1492" i="1"/>
  <c r="AO1492" i="1"/>
  <c r="AN1493" i="1"/>
  <c r="AO1493" i="1"/>
  <c r="AN1494" i="1"/>
  <c r="AO1494" i="1"/>
  <c r="AN1495" i="1"/>
  <c r="AO1495" i="1"/>
  <c r="AN1496" i="1"/>
  <c r="AO1496" i="1"/>
  <c r="AN1497" i="1"/>
  <c r="AO1497" i="1"/>
  <c r="AN1498" i="1"/>
  <c r="AO1498" i="1"/>
  <c r="AN1499" i="1"/>
  <c r="AO1499" i="1"/>
  <c r="AN1500" i="1"/>
  <c r="AO1500" i="1"/>
  <c r="AN1501" i="1"/>
  <c r="AO1501" i="1"/>
  <c r="AN1502" i="1"/>
  <c r="AO1502" i="1"/>
  <c r="AN1503" i="1"/>
  <c r="AO1503" i="1"/>
  <c r="AN1504" i="1"/>
  <c r="AO1504" i="1"/>
  <c r="AN1505" i="1"/>
  <c r="AO1505" i="1"/>
  <c r="AN1506" i="1"/>
  <c r="AO1506" i="1"/>
  <c r="AN1507" i="1"/>
  <c r="AO1507" i="1"/>
  <c r="AN1508" i="1"/>
  <c r="AO1508" i="1"/>
  <c r="AN1509" i="1"/>
  <c r="AO1509" i="1"/>
  <c r="AN1510" i="1"/>
  <c r="AO1510" i="1"/>
  <c r="AN1511" i="1"/>
  <c r="AO1511" i="1"/>
  <c r="AN1512" i="1"/>
  <c r="AO1512" i="1"/>
  <c r="AN1513" i="1"/>
  <c r="AO1513" i="1"/>
  <c r="AN1514" i="1"/>
  <c r="AO1514" i="1"/>
  <c r="AN1515" i="1"/>
  <c r="AO1515" i="1"/>
  <c r="AN1516" i="1"/>
  <c r="AO1516" i="1"/>
  <c r="AN1517" i="1"/>
  <c r="AO1517" i="1"/>
  <c r="AN1518" i="1"/>
  <c r="AO1518" i="1"/>
  <c r="AN1519" i="1"/>
  <c r="AO1519" i="1"/>
  <c r="AN1520" i="1"/>
  <c r="AO1520" i="1"/>
  <c r="AN1521" i="1"/>
  <c r="AO1521" i="1"/>
  <c r="AN1522" i="1"/>
  <c r="AO1522" i="1"/>
  <c r="AN1523" i="1"/>
  <c r="AO1523" i="1"/>
  <c r="AN1524" i="1"/>
  <c r="AO1524" i="1"/>
  <c r="AN1526" i="1"/>
  <c r="AO1526" i="1"/>
  <c r="AN1528" i="1"/>
  <c r="AO1528" i="1"/>
  <c r="AN1529" i="1"/>
  <c r="AO1529" i="1"/>
  <c r="AN1530" i="1"/>
  <c r="AO1530" i="1"/>
  <c r="AN1531" i="1"/>
  <c r="AO1531" i="1"/>
  <c r="AN1532" i="1"/>
  <c r="AO1532" i="1"/>
  <c r="AN1533" i="1"/>
  <c r="AO1533" i="1"/>
  <c r="AN1534" i="1"/>
  <c r="AO1534" i="1"/>
  <c r="AN1535" i="1"/>
  <c r="AO1535" i="1"/>
  <c r="AN1536" i="1"/>
  <c r="AO1536" i="1"/>
  <c r="AN1537" i="1"/>
  <c r="AO1537" i="1"/>
  <c r="AN1538" i="1"/>
  <c r="AO1538" i="1"/>
  <c r="AN1539" i="1"/>
  <c r="AO1539" i="1"/>
  <c r="AN1540" i="1"/>
  <c r="AO1540" i="1"/>
  <c r="AN1541" i="1"/>
  <c r="AO1541" i="1"/>
  <c r="AN1542" i="1"/>
  <c r="AO1542" i="1"/>
  <c r="AN1543" i="1"/>
  <c r="AO1543" i="1"/>
  <c r="AN1544" i="1"/>
  <c r="AO1544" i="1"/>
  <c r="AO1545" i="1"/>
  <c r="AN1546" i="1"/>
  <c r="AO1547" i="1"/>
  <c r="AO1548" i="1"/>
  <c r="AO1549" i="1"/>
  <c r="AO1550" i="1"/>
  <c r="AO1551" i="1"/>
  <c r="AO1552" i="1"/>
  <c r="AN1553" i="1"/>
  <c r="AO1553" i="1"/>
  <c r="AN1554" i="1"/>
  <c r="AO1554" i="1"/>
  <c r="AN1555" i="1"/>
  <c r="AO1555" i="1"/>
  <c r="AN1556" i="1"/>
  <c r="AO1556" i="1"/>
  <c r="AN1557" i="1"/>
  <c r="AO1557" i="1"/>
  <c r="AN1558" i="1"/>
  <c r="AO1558" i="1"/>
  <c r="AN1559" i="1"/>
  <c r="AO1559" i="1"/>
  <c r="AN1560" i="1"/>
  <c r="AO1560" i="1"/>
  <c r="AN1561" i="1"/>
  <c r="AO1561" i="1"/>
  <c r="AN1562" i="1"/>
  <c r="AO1562" i="1"/>
  <c r="AN1563" i="1"/>
  <c r="AO1563" i="1"/>
  <c r="AN1564" i="1"/>
  <c r="AO1564" i="1"/>
  <c r="AN1565" i="1"/>
  <c r="AO1565" i="1"/>
  <c r="AN1566" i="1"/>
  <c r="AO1566" i="1"/>
  <c r="AN1567" i="1"/>
  <c r="AO1567" i="1"/>
  <c r="AN1568" i="1"/>
  <c r="AO1568" i="1"/>
  <c r="AN1569" i="1"/>
  <c r="AO1569" i="1"/>
  <c r="AN1570" i="1"/>
  <c r="AO1570" i="1"/>
  <c r="AN1571" i="1"/>
  <c r="AO1571" i="1"/>
  <c r="AN1572" i="1"/>
  <c r="AO1572" i="1"/>
  <c r="AN1573" i="1"/>
  <c r="AO1573" i="1"/>
  <c r="AN1574" i="1"/>
  <c r="AO1574" i="1"/>
  <c r="AN1575" i="1"/>
  <c r="AO1575" i="1"/>
  <c r="AN1576" i="1"/>
  <c r="AO1576" i="1"/>
  <c r="AN1577" i="1"/>
  <c r="AO1577" i="1"/>
  <c r="AN1578" i="1"/>
  <c r="AO1578" i="1"/>
  <c r="AN1579" i="1"/>
  <c r="AO1579" i="1"/>
  <c r="AN1580" i="1"/>
  <c r="AO1580" i="1"/>
  <c r="AN1581" i="1"/>
  <c r="AO1581" i="1"/>
  <c r="AN1582" i="1"/>
  <c r="AO1582" i="1"/>
  <c r="AN1583" i="1"/>
  <c r="AO1583" i="1"/>
  <c r="AN1584" i="1"/>
  <c r="AO1584" i="1"/>
  <c r="AN1585" i="1"/>
  <c r="AO1585" i="1"/>
  <c r="AN1587" i="1"/>
  <c r="AO1587" i="1"/>
  <c r="AN1589" i="1"/>
  <c r="AO1589" i="1"/>
  <c r="AN1590" i="1"/>
  <c r="AO1590" i="1"/>
  <c r="AN1591" i="1"/>
  <c r="AO1591" i="1"/>
  <c r="AN1593" i="1"/>
  <c r="AO1593" i="1"/>
  <c r="AN1594" i="1"/>
  <c r="AO1594" i="1"/>
  <c r="AN1595" i="1"/>
  <c r="AO1595" i="1"/>
  <c r="AN1596" i="1"/>
  <c r="AO1596" i="1"/>
  <c r="AN1597" i="1"/>
  <c r="AO1597" i="1"/>
  <c r="AN1598" i="1"/>
  <c r="AO1598" i="1"/>
  <c r="AN1599" i="1"/>
  <c r="AO1599" i="1"/>
</calcChain>
</file>

<file path=xl/sharedStrings.xml><?xml version="1.0" encoding="utf-8"?>
<sst xmlns="http://schemas.openxmlformats.org/spreadsheetml/2006/main" count="45519" uniqueCount="3144">
  <si>
    <t>PUESTO</t>
  </si>
  <si>
    <t>DIRECCION</t>
  </si>
  <si>
    <t>GERENCIA</t>
  </si>
  <si>
    <t>CLAVE</t>
  </si>
  <si>
    <t>PROYECTO</t>
  </si>
  <si>
    <t>NOMBRE</t>
  </si>
  <si>
    <t>PATERNO</t>
  </si>
  <si>
    <t>MATERNO</t>
  </si>
  <si>
    <t>SOLICITUD</t>
  </si>
  <si>
    <t>ESTATUSSOL</t>
  </si>
  <si>
    <t>ACTO</t>
  </si>
  <si>
    <t>TIPO</t>
  </si>
  <si>
    <t>CLAVE_ACOMP</t>
  </si>
  <si>
    <t>ACOMPANANTE</t>
  </si>
  <si>
    <t>IMP_ACOMP</t>
  </si>
  <si>
    <t>PAIS_ORIGEN</t>
  </si>
  <si>
    <t>ORIGEN</t>
  </si>
  <si>
    <t>DESTINO</t>
  </si>
  <si>
    <t>MOTIVO</t>
  </si>
  <si>
    <t>FECHA_SALIDA</t>
  </si>
  <si>
    <t>FECHA_REGRESO</t>
  </si>
  <si>
    <t>PARTIDAPRESUPUESTAL</t>
  </si>
  <si>
    <t>DENOMINACIONPARTIDA</t>
  </si>
  <si>
    <t>COMPROBACION</t>
  </si>
  <si>
    <t>FECHA_COMPROBACION</t>
  </si>
  <si>
    <t>ESTATUSCOM</t>
  </si>
  <si>
    <t>IMPORTE</t>
  </si>
  <si>
    <t>IVA</t>
  </si>
  <si>
    <t>IMPORTE_IVA</t>
  </si>
  <si>
    <t>PROPINA</t>
  </si>
  <si>
    <t>TOTAL</t>
  </si>
  <si>
    <t>TOTAL_EJERCIDO</t>
  </si>
  <si>
    <t>TOTAL_SOLICITADO</t>
  </si>
  <si>
    <t>REFERENCIA</t>
  </si>
  <si>
    <t>VOUCHER</t>
  </si>
  <si>
    <t>FACTURA</t>
  </si>
  <si>
    <t>LIMITE</t>
  </si>
  <si>
    <t>NO_DEDUCIBLE</t>
  </si>
  <si>
    <t>DEDUCIBLE</t>
  </si>
  <si>
    <t>PDF</t>
  </si>
  <si>
    <t>XML</t>
  </si>
  <si>
    <t>OBJETIVO</t>
  </si>
  <si>
    <t>ACTIVIDADES</t>
  </si>
  <si>
    <t>RESULTADOS</t>
  </si>
  <si>
    <t>CONTRIBUCIONES</t>
  </si>
  <si>
    <t>FECHA_ENTREGA</t>
  </si>
  <si>
    <t>FECHA_VALIDA</t>
  </si>
  <si>
    <t>INGENIERA INGENIERO DE PROYECTO</t>
  </si>
  <si>
    <t>DIRECCIÓN DE INGENIERÍA MECÁNICA</t>
  </si>
  <si>
    <t>GERENCIA DE ENERGÍA</t>
  </si>
  <si>
    <t>CIRILO</t>
  </si>
  <si>
    <t>NOGUERA</t>
  </si>
  <si>
    <t>SILVA</t>
  </si>
  <si>
    <t>SQ2100576</t>
  </si>
  <si>
    <t>Pagada</t>
  </si>
  <si>
    <t>VISITA A LA EMPRESA SMI EN LA CD. DE MÉXICO PARA SEGUIMIENTO DE PROYECTO.</t>
  </si>
  <si>
    <t>Nacional</t>
  </si>
  <si>
    <t>GOMEZ GONZALEZ RAFAEL</t>
  </si>
  <si>
    <t>MEXICO</t>
  </si>
  <si>
    <t>QUERETARO</t>
  </si>
  <si>
    <t>CIUDAD DE MÉXICO</t>
  </si>
  <si>
    <t>Alimentos Nacionales</t>
  </si>
  <si>
    <t>CQ2100514</t>
  </si>
  <si>
    <t>Comprobada</t>
  </si>
  <si>
    <t>000020Alimentos NacionalesCQ21</t>
  </si>
  <si>
    <t>SI</t>
  </si>
  <si>
    <t>NO</t>
  </si>
  <si>
    <t>Entrevista con el Ing. Ricardo Reyes CID, Director General de la empresa SMI, para explorar la posibilidad de desarrollar proyectos en conjunto para ASA y PEMEX.</t>
  </si>
  <si>
    <t>Plática con el Ing. Ricardo Reyes Cid.</t>
  </si>
  <si>
    <t>Acuerdo para prepararnos para las licitaciones que ASA publica anualmente en mantenimiento especializado y construcción de Unidades Dispensadoras de Turbosina y Autotanques.</t>
  </si>
  <si>
    <t>Posibilidad de venta de proyectos de desarrollo Tecnológico tanto a ASA como a PEP.</t>
  </si>
  <si>
    <t>SQ2100788</t>
  </si>
  <si>
    <t>VISITA A LA EMPRESA SMI, UBICADA EN LA CD. DE MÉXICO PARA RECOLECCIÓN DE MATERIAL.</t>
  </si>
  <si>
    <t xml:space="preserve"> </t>
  </si>
  <si>
    <t>CQ2100707</t>
  </si>
  <si>
    <t>Entrevista con el Ing. Ricardo Reyes CID, Director General de la empresa SMI, para explorar la posibilidad de desarrollar proyectos en conjunto para ASA y PEME.</t>
  </si>
  <si>
    <t>Acuerdo con el Ing. Ricardo Reyes Cid.</t>
  </si>
  <si>
    <t>Revisión detallada de la información que se presentará a Pemex Exploración y Producción con respecto a una cartera de proyectos que podrían realizar en conjunto CIDESI y SMI</t>
  </si>
  <si>
    <t xml:space="preserve">Posibilidad de venta de proyectos de desarrollo Tecnológico a PEMEX Exploración y Producción. </t>
  </si>
  <si>
    <t>GESTORA / GESTOR DE SERVICIOS</t>
  </si>
  <si>
    <t>DIRECCIÓN DE ADMINISTRACIÓN Y FINANZAS (TEMPORAL)</t>
  </si>
  <si>
    <t>SUBDIRECCIÓN DE RECURSOS MATERIALES Y SERVICIOS GENERALES</t>
  </si>
  <si>
    <t>JUAN FRANCISCO</t>
  </si>
  <si>
    <t>VILLARREAL</t>
  </si>
  <si>
    <t>RUIZ</t>
  </si>
  <si>
    <t>SQ2100702</t>
  </si>
  <si>
    <t>TRASLADO DE MATERIALES</t>
  </si>
  <si>
    <t>CUAUTITLÁN IZCALLI</t>
  </si>
  <si>
    <t>CQ2100615</t>
  </si>
  <si>
    <t>000035Alimentos NacionalesCQ21</t>
  </si>
  <si>
    <t>TRASLADO DE MATERIALES DE CIDESI QUERETARO A CIDESI ESTADO DE MEXICO</t>
  </si>
  <si>
    <t>SE TRASLADAN MATERIALES DE LA SEDE QUERETARO A LA SEDE ESTADO DE DEMXICO</t>
  </si>
  <si>
    <t>POSITIVOS</t>
  </si>
  <si>
    <t>SE REALIZA COMISION</t>
  </si>
  <si>
    <t>Casetas</t>
  </si>
  <si>
    <t>000035CasetasCQ2100615</t>
  </si>
  <si>
    <t>SQ2100722</t>
  </si>
  <si>
    <t>TRASLADO DE MATERIALES A LA SEDE NUEVO LEON</t>
  </si>
  <si>
    <t>NUEVO LEÓN</t>
  </si>
  <si>
    <t>CQ2100640</t>
  </si>
  <si>
    <t>Enviada a Baan</t>
  </si>
  <si>
    <t>Traslado de pieza de queretaro a Nuevoleon para manufactura esperar la pieza y regresarla a Queretaro</t>
  </si>
  <si>
    <t>positivos</t>
  </si>
  <si>
    <t>se realiza la comision en tiempo y forma</t>
  </si>
  <si>
    <t>Hospedaje Nacional</t>
  </si>
  <si>
    <t>000035Hospedaje NacionalCQ2100</t>
  </si>
  <si>
    <t>SQ2100755</t>
  </si>
  <si>
    <t>Entrega y recolección de instrumentos y equipos de medición en GM TOLUCA - planta TREC; Toluca, edo. de Mex.</t>
  </si>
  <si>
    <t>TOLUCA</t>
  </si>
  <si>
    <t>CQ2100663</t>
  </si>
  <si>
    <t>se realiza comision</t>
  </si>
  <si>
    <t>SQ2100734</t>
  </si>
  <si>
    <t>Recoger materiales en los Talleres de la Paz del STC Metro, CDMX.</t>
  </si>
  <si>
    <t>CQ2100670</t>
  </si>
  <si>
    <t>traslado de material  y equipo del metro la paz</t>
  </si>
  <si>
    <t>traslado de material y equipo del metro la paz</t>
  </si>
  <si>
    <t>positivo</t>
  </si>
  <si>
    <t>tiempo y forma</t>
  </si>
  <si>
    <t>SQ2100768</t>
  </si>
  <si>
    <t>Traslado de materiales del proyecto PROLEC GE</t>
  </si>
  <si>
    <t>CQ2100673</t>
  </si>
  <si>
    <t>entrega de material   y recoger  material de cidesi  edo</t>
  </si>
  <si>
    <t>entrega de material  y  recoger material</t>
  </si>
  <si>
    <t>SQ2100793</t>
  </si>
  <si>
    <t>Pasar por documento con el cliente STC Metro en la CDXM.</t>
  </si>
  <si>
    <t>CQ2100703</t>
  </si>
  <si>
    <t>RECOGER  DOCUMENTOS DEL METRO DELICIAS</t>
  </si>
  <si>
    <t>RECOGER DOCUMENTOS  Y ENTREGA  A  CONACYT</t>
  </si>
  <si>
    <t>POSITIVO</t>
  </si>
  <si>
    <t>SQ2100823</t>
  </si>
  <si>
    <t>Entrega de documentos a CONACYT, METRO, sede Estado de Mexico y proveedor Cadena Basurto</t>
  </si>
  <si>
    <t>CQ2100731</t>
  </si>
  <si>
    <t>entrega de documentos  y recoger documentos conacyt  metro cidesi estado de mexico</t>
  </si>
  <si>
    <t>entrega de documentos  y recoger  documentos varios</t>
  </si>
  <si>
    <t>entrega de documentos</t>
  </si>
  <si>
    <t>SQ2100832</t>
  </si>
  <si>
    <t>PASAR POR PERSONAL DE CIDESI AL AEROPUERTO DE LA CDMX</t>
  </si>
  <si>
    <t>CQ2100757</t>
  </si>
  <si>
    <t>recoger personal de cidesi del areopuerto de ciudad de mexico a  queretaro</t>
  </si>
  <si>
    <t>traslado de personal  a  queretaro</t>
  </si>
  <si>
    <t>traslado de personal</t>
  </si>
  <si>
    <t>SQ2100863</t>
  </si>
  <si>
    <t>RECOLECCIÓN DE MATERIAL EN LA EMPRESA BIOMEDICAL SERVIN SA DE CV EN LA CD. DE MÉXICO. ESTA COMISIÓN SE REALIZÓ EL DÍA 25 DE AGOSTO PERO NO FUÉ PROCESADA POR FALTA DE PRESUPUESTO EN PROYECTO, POR TAL MOTIVO SE VOLVIÓ A GENERAR.</t>
  </si>
  <si>
    <t>CQ2100760</t>
  </si>
  <si>
    <t>SQ2100850</t>
  </si>
  <si>
    <t>TRASLADO AL AEROPUERTO INT. DE LA CD. DE MÉXICO A DIRECTOR DE ÁREA DE ING. MECÁNICA.</t>
  </si>
  <si>
    <t>CQ2100765</t>
  </si>
  <si>
    <t>traslado de personal al  city expres ciudad de mexico dr. mauricio</t>
  </si>
  <si>
    <t>traslado de personal de cidesi</t>
  </si>
  <si>
    <t>traslado de personal city expres ciudad de mexico</t>
  </si>
  <si>
    <t>SQ2100944</t>
  </si>
  <si>
    <t>Entregar equipo en las instalaciones de SEIRU, en la Cdmx.</t>
  </si>
  <si>
    <t>CQ2100839</t>
  </si>
  <si>
    <t>entrega de equipo para su calibracion ciudad de mexico</t>
  </si>
  <si>
    <t>traslado de equipo seiru azcaptosalco ciudad de mexico</t>
  </si>
  <si>
    <t>traslado de equipo para su calibracion</t>
  </si>
  <si>
    <t>SQ2100955</t>
  </si>
  <si>
    <t>TRASLADO DE MATERIALES A LA SEDE ESTADO DE MEXICO</t>
  </si>
  <si>
    <t>CQ2100866</t>
  </si>
  <si>
    <t>traslado de material  a  cidesi estado de mexico  y recoger piezas  para  queretaro</t>
  </si>
  <si>
    <t>traslado de material  y traslado de piezas  aqueretaro</t>
  </si>
  <si>
    <t>traslado de material  y piezas</t>
  </si>
  <si>
    <t>SQ2100956</t>
  </si>
  <si>
    <t>Traslado del Dr. Israel Mejía al Aeropuerto Internacional de la Cdmx.</t>
  </si>
  <si>
    <t>MEJIA SILVA JESUS ISRAEL</t>
  </si>
  <si>
    <t>CQ2100868</t>
  </si>
  <si>
    <t>traslado de personal  a areopuerto de ciudad de mexico. entrega de equipo del metro de ticoman  y recoger  equipo calibrado victoria azcapotsalco</t>
  </si>
  <si>
    <t>traslado de personal  entrega de material  y recoger  equipo calibrado</t>
  </si>
  <si>
    <t>traslado de personal  y entrega de material  recoger  material</t>
  </si>
  <si>
    <t>SQ2100990</t>
  </si>
  <si>
    <t>Pasar por el Dr. Israel Mejía al Aeropuerto Internacional de la Cdmx  y trasladar a CIDESI.</t>
  </si>
  <si>
    <t>CQ2100884</t>
  </si>
  <si>
    <t>traslado de personal  a  queretaro  .areopuerto de mexico  a queretaro dr israel mejia</t>
  </si>
  <si>
    <t>traslado de personal a  queretaro</t>
  </si>
  <si>
    <t>traslado de personal  a  queretaro.</t>
  </si>
  <si>
    <t>SQ2101020</t>
  </si>
  <si>
    <t>APOYO PARA TRASLADO DE DIRECTOR DE ÁREA DE INGENIERÍA MECÁNICA PARA ATENCIÓN DE REUNIÓN EN C.I.D.E.F.A.M. Y A LA SEDE CIDESI EDO. DE MÉXICO.</t>
  </si>
  <si>
    <t>CQ2100918</t>
  </si>
  <si>
    <t>traslado de personal  a  reunion  mauricio torres</t>
  </si>
  <si>
    <t>traslado de personal  a  reunion mauricio  torres</t>
  </si>
  <si>
    <t>trasladdo personal</t>
  </si>
  <si>
    <t>GERENTA / GERENTE METROLOGÍA ELÉCTRICA Y TERMOFÍSICA</t>
  </si>
  <si>
    <t>DIRECCIÓN DE INGENIERÍA ELÉCTRICA Y ELECTRÓNICA</t>
  </si>
  <si>
    <t>GERENCIA DE METROLOGÍA ELÉCTRICA Y TERMOFÍSICA</t>
  </si>
  <si>
    <t>FERNANDO</t>
  </si>
  <si>
    <t>MOTOLINIA</t>
  </si>
  <si>
    <t>VELAZQUEZ</t>
  </si>
  <si>
    <t>SQ2100670</t>
  </si>
  <si>
    <t>Por la compra de boleto (pasaje) en transporte maritimo Ferrie, para el traslado de la camioneta RAM 4000 de La Paz B.C.S. a Mazatlán Sinaloa, con la que se cubrio parte de la Ruta 5 de PROFECO con entrega y recolección de quipo de medición, Regresa a CIDESI por fallas mecánicas.</t>
  </si>
  <si>
    <t>VIATICOS SIN COSTO NACIONAL</t>
  </si>
  <si>
    <t>Arrendamiento de Vehículos terrestres</t>
  </si>
  <si>
    <t>CQ2100572</t>
  </si>
  <si>
    <t>000038Arrendamiento de Vehícul</t>
  </si>
  <si>
    <t>Por la compra de boleto (pasaje) en transporte maritimo Ferrie, para el traslado de la camioneta RAM 4000 de La Paz B.C.S. a Mazatlán Sinaloa, con la que se cubrió parte de la Ruta 5 de PROFECO con entrega y recolección de equipo de medición, Regresa a CIDESI por fallas mecánicas.</t>
  </si>
  <si>
    <t>Por fallas mecánicas se traslada en grúa  la unidad de CIDESI de Mazatlán a Querétaro.</t>
  </si>
  <si>
    <t>Se cubrió parte de la Ruta 5 de PROFECO en la unidad de CIDESI.</t>
  </si>
  <si>
    <t>Gestión institucional</t>
  </si>
  <si>
    <t>COORDINADORA / COORDINADOR DE F. MIXTOS Y SECTORIALES</t>
  </si>
  <si>
    <t>DIRECCIÓN DE GESTIÓN FINANCIERA Y SEGURIDAD EN EL TRABAJO</t>
  </si>
  <si>
    <t>DIR. DE GESTIÓN FINANCIERA Y SEGURIDAD EN EL TRABAJO (Staff)</t>
  </si>
  <si>
    <t>MA. GUADALUPE</t>
  </si>
  <si>
    <t>BALTAZAR</t>
  </si>
  <si>
    <t>ARAUJO</t>
  </si>
  <si>
    <t>SQ2101006</t>
  </si>
  <si>
    <t>ENTREGA DE CARPETAS DE JUNTA DE ORGANO DE GOBIERNO A LA SECRETARIA DE LA FUNCION PUBLICA CD. DE MEXICO DIA 28 DE SEPT 2021.</t>
  </si>
  <si>
    <t>MATA RAMOS IVONNE BERENICE</t>
  </si>
  <si>
    <t>CQ2100937</t>
  </si>
  <si>
    <t>Documentacion Recibida en Finanzas para su Revision</t>
  </si>
  <si>
    <t>000086Alimentos NacionalesCQ21</t>
  </si>
  <si>
    <t>SE CANCELÓ LA COMISIÓN SE DEVOLVERÁ TODO EL IMPORTE A TESORERIA</t>
  </si>
  <si>
    <t>SE CANCELO COMISIÓN SE DEVOLVERA TODO EL IMPORTE A TESORERIA.</t>
  </si>
  <si>
    <t>SE CANCELO COMISIÓN</t>
  </si>
  <si>
    <t>VICTOR ARIEL</t>
  </si>
  <si>
    <t>PAULIN</t>
  </si>
  <si>
    <t>SQ2100686</t>
  </si>
  <si>
    <t>TRASLADO A LA CD. DE SALAMANCA, GTO. PARA VISITAR A LA EMPRESA BIBOZ SOLUCIONES SA DE CV PARA RECOLECCIÓN DE MATERIAL.</t>
  </si>
  <si>
    <t>GUANAJUATO</t>
  </si>
  <si>
    <t>CQ2100588</t>
  </si>
  <si>
    <t>000117Alimentos NacionalesCQ21</t>
  </si>
  <si>
    <t>Visita a cliente para recoger información y material de proyecto pontecial</t>
  </si>
  <si>
    <t>Se entrevisto con el cliente y se recogio material en oficina del cliente</t>
  </si>
  <si>
    <t>Se entrevisto con el cliente, se recogio material y propuesta con firma de aceptación</t>
  </si>
  <si>
    <t>Actividades propias de comercialización de proyectos</t>
  </si>
  <si>
    <t>GERENTA / GERENTE CARACTERIZACIÓN DE MATERIALES</t>
  </si>
  <si>
    <t>DIRECCIÓN DE FABRICACIÓN ADITIVA Y DESARROLLO DE MATERIALES</t>
  </si>
  <si>
    <t>GERENCIA DE CARACTERIZACIÓN DE MATERIALES</t>
  </si>
  <si>
    <t>JOSE</t>
  </si>
  <si>
    <t>NUÑEZ</t>
  </si>
  <si>
    <t>ALCOCER</t>
  </si>
  <si>
    <t>SQ2100997</t>
  </si>
  <si>
    <t>Reunión con personal de la empresa ASA para arranque de Convenio de Integridad Mecánica de Tanques de Almacenamiento, Líneas de Tubería y Turbosinoductos de la Red de Hidrantes.</t>
  </si>
  <si>
    <t>CQ2100917</t>
  </si>
  <si>
    <t>000139Alimentos NacionalesCQ21</t>
  </si>
  <si>
    <t>Se tuvo reunión con personal de la empresa ASA para arranque de Convenio de Integridad Mecánica de Tanques de Almacenamiento, Líneas de Tubería y Turbosinoductos de la Red de Hidrantes.</t>
  </si>
  <si>
    <t>Se tuvo reunión de arranque del proyecto, se presentó programa de inspeción y se recibio convenio.</t>
  </si>
  <si>
    <t>Incremento para lograr la meta de facturación del área</t>
  </si>
  <si>
    <t>JOSE MANUEL</t>
  </si>
  <si>
    <t>ANDRADE</t>
  </si>
  <si>
    <t>LUGO</t>
  </si>
  <si>
    <t>SQ2100687</t>
  </si>
  <si>
    <t>CQ2100600</t>
  </si>
  <si>
    <t>000148Alimentos NacionalesCQ21</t>
  </si>
  <si>
    <t>VIAJE PARA RECOJER EQUIPOS PARA LA REALIZACION DE VISITAS A ESTACIONES DE COMBUSTIBLES DE ASA, COMO SON. CIUDAD OBREGON SONORA, MATAMOROS Y NUEVO LAREDO TAMAULIPAS, ASI COMO RECOGERDOCUMENTACIONFIRMADA  DEL PROYECTO</t>
  </si>
  <si>
    <t>TRALADO AL CIUDAD DE SALAMANCA, VISITA A CLIENTE, ENTREGA DE EQUIPOS Y REVICION DE DOCUMENTACION Y FIRMA DE ESTA.  ENTREGA DE DOCUMENTACION Y TRASLADO A LA CIUDAD DE QUERETARO.</t>
  </si>
  <si>
    <t>VISITA A PROVEDOR Y CLIENTE PARA RECOJER EQUIPO Y DOCUMENTACION DEL PROYECTO.</t>
  </si>
  <si>
    <t>SE TIENE LA DOCUMENTACION FIRMADA PARA DAR DE ALTA EL PROYECTO Y TENER EL EQUIPO PARA REALIZAR LAS VISITAS A LA ESTACIONES DE COMBUSTIBLES DE ASA</t>
  </si>
  <si>
    <t>INGENIERA/INGENIERO DE SERVICIO</t>
  </si>
  <si>
    <t>HECTOR</t>
  </si>
  <si>
    <t>RAMIREZ</t>
  </si>
  <si>
    <t>CORONADO</t>
  </si>
  <si>
    <t>SQ2100534</t>
  </si>
  <si>
    <t>ATENDER SERVICIO DE CALIBRACION DE BALANZAS DE ALTA EXACTITUD CON RESOLUICIÓN DE 1 microgramo EN LA COMPAÑIA MINERA PEÑA DE BERNAL, SA CV (ESTA COMISION AMPARA LAS 24 HORAS)</t>
  </si>
  <si>
    <t>SAN JUAN DEL RÍO</t>
  </si>
  <si>
    <t>CQ2100482</t>
  </si>
  <si>
    <t>000156Alimentos NacionalesCQ21</t>
  </si>
  <si>
    <t>SE REALIZÓ SEERVICIO DE CALIBRACIÓN  A BALANZAS EN AL EMPRESA: COMPAÑIA MINERA PEÑA DE BERNAL, SA DE CV,</t>
  </si>
  <si>
    <t>SE REALIZÓ SEERVICIO DE CALIBRACIÓN, LIMPIEZA Y AJUSTE A ULTRABALANZAS DE ALTA EXACTITUD EN AL EMPRESA: COMPAÑIA MINERA PEÑA DE BERNAL, SA DE CV.</t>
  </si>
  <si>
    <t>SE CUMPLIÓ SATISFACTORIAMENTE EL SERVICIO PROGRAMADO.</t>
  </si>
  <si>
    <t>ESTA ACTIVIDAD CONTRIBUYE PARA LOGRAR LA META DE FACTURACIÓN PROYECTADA POR CIDESI.</t>
  </si>
  <si>
    <t>SQ2100588</t>
  </si>
  <si>
    <t>SERVICIO DE RECOLECTA DE MEDIDAS VOLUMETRICAS, CRONOMETROS, FLUJOMETROS , EN PROFECO OFICINA CENTRAL EN LA CIUDAD DE MEXICO, CORRESPONDIENTE AL INICIO DEL PROYECTO 2021</t>
  </si>
  <si>
    <t>CQ2100522</t>
  </si>
  <si>
    <t>RECOLECTA Y ENTREGA DE EQUIPOS DE MEDICION DE PROFECO (BASCULAS ELECTRONICAS DE 150 kg, MEDIDAS VOLUMETRICAS D 2 y  20 LITROS, TERMOMETROSS BIMETALICOS, Y CRONOMETROS), PARA SU CALIBRACION.</t>
  </si>
  <si>
    <t>IDENTIFICACION, CARGA DE EQUIPO POR LA RECOLECTA Y ENTREGA DE EQUIPOS DE MEDICION DE PROFECO (BASCULAS ELECTRONICAS DE 150 kg, MEDIDAS VOLUMETRICAS D 2 y  20 LITROS, TERMOMETROSS BIMETALICOS, Y CRONOMETROS), PARA SU CALIBRACION.</t>
  </si>
  <si>
    <t>ESTA ACIVIDAD CONTRIBUYE PARA LOGRAR LA META DE FACTURACION PROYECTADA POR CIDESI.</t>
  </si>
  <si>
    <t>SQ2100701</t>
  </si>
  <si>
    <t>ATENDER SERVICIO DE ENTREGA DE EQUIPO CALIBRADO Y RECOLECTA DE EQUIPO PARA SU CALIBRACION EN CIDESI, A PROFECO EN LA CIUDAD D EMEXICO (ESTA COMISION AMPARA LAS 24 HORAS DEL DIA)</t>
  </si>
  <si>
    <t>CQ2100627</t>
  </si>
  <si>
    <t>SERVICIO DE ENTREGA YRECOLECTA DE EQUIPO DE MEDICION</t>
  </si>
  <si>
    <t>SERVICIO DE ENTREGA DE LOTE DE MEDIDAS VOLUMETRICAS DE 20 LITROS, BASCULAS DE 150 kg Y FLUJOMETROS TIPO MASICOS, EN LAS OFICINAS GENERALES DE PROFECO CIUDAD DE MEXICO.</t>
  </si>
  <si>
    <t>SE CUMPLIÓ SATISFACTORIEMNETE EL SERVICIO PROGRAMADO.</t>
  </si>
  <si>
    <t>ESTA ACTIVIDAD CONTRIBUYE PARA LOGRAR LA META DE FACTURACION PROYECTADA POR CIDESI.</t>
  </si>
  <si>
    <t>SQ2100760</t>
  </si>
  <si>
    <t>ATENDER SERVICIO DE CALIBRACION, RECOLECTA Y ENTREGA DE EQUIPO CALIBRADO EN LAS DELEGACIONES DE PROFECO DE MORELIA,  GUADALAJARA Y TEPIC</t>
  </si>
  <si>
    <t>NAYARIT</t>
  </si>
  <si>
    <t>CQ2100679</t>
  </si>
  <si>
    <t>SERVICIO DE CALIBRACION, RECOLECTA Y ENTREGA DE EQUIPOS DE MEDICION DE PROFECO NOTA 1: EL MONTO DE CONSUMO DE LA FACTURA CON NUMERO DE SERIE Y FOLO: GDLPV 00012218 ARROJA UN TOTAL  DE: $405.00 PESOS M.N. (INCLUENDO IVA), ESTO DEBIDO A QUE EL CONSUMO FUEPOR DOS PERSONAS: HÉCTOR RAMÍREZ CORONADO Y MIGUEL ÁNGEL VARGAS NAVARRO. NOTA 2: ESTA COMPROBACIÓN EXCEDE EL MONTO PAGADO DE LA COMISIÓN, DEBIDO A QUE SE LE ADICIONN LOS GASTOS PAGADOS DE LA GASOLINA QUE CONSUMIÓ EL VEHICULO (URVAN), SE PAGÓ POR PARTE NUESTRA, POR LA SITUACIÓN DE EXTRAVÍO DE LA TARJETA DE GASOLINA.</t>
  </si>
  <si>
    <t>SE REALIZÓ EL SERVICIO DE CALIBRACIÓN, INTERCAMBIO Y RECOLECTA EN LAS DELEGACIONES DE PROFECO DE: MORELIA, MICH.; GUADALAJARA, JAL. Y BAHÍA BANDERAS, NAYARIT, DE EQUIPOS DE MEDICION, TALES COMO: (FLUJÓMETROS, LONGÍMETROS, CRONÓMETROS, MEDIDAS VOLUMETRICAS DE 2 Y 2O LITROS, TERMÓMETROS Y BASCULAS ELECTRÓNICAS DE 150 kg)</t>
  </si>
  <si>
    <t>SE REALIZÓ DE MANERA SATISFACTORIA EL SERVICIO PROGRAMADO.</t>
  </si>
  <si>
    <t>000156Hospedaje NacionalCQ2100</t>
  </si>
  <si>
    <t>Combustibles y lubricantes</t>
  </si>
  <si>
    <t>000156Combustibles y lubricant</t>
  </si>
  <si>
    <t>SQ2100805</t>
  </si>
  <si>
    <t>ATENDER EL SERVICIO DE RECOLECTA Y ENTREGA DE EQUIPOS DE MEDICION (MEDIDAS VOLUMETRICAS, BASCULAS ELECTRONICA Y FLUJOMETROS TIPO MASICO) EN PROFECO CD DE MEXICO</t>
  </si>
  <si>
    <t>CQ2100717</t>
  </si>
  <si>
    <t>ENTREGA Y RECOLECTA DE EQUIPO DE MEDICIÓN A PROFECO COMBUSTIBLES EN LA CIUDAD DE MEXICO</t>
  </si>
  <si>
    <t>SE RE4ALIZÓ ENTREGA DE EQUIPO CALIBRADO (MEDIDAS VOLUMETRICAS DE 20 LITROS) Y RECOLECTA DE EQUIPO  (MEDIDAS VOLUMETRICAS DE 20 LITROS, BASCULAS DDE 150 kG, TERMOMETROS Y FLUJOMETROS TIPO MASICOS) PARA SU CALIBRACION EN CIDESI.</t>
  </si>
  <si>
    <t>SE CUMPLIÓ SATISFACTORIAMNETE EL SERVICIO PROGRAMADO.</t>
  </si>
  <si>
    <t>ESTA ACTIVIDAD CONTRIBUYE PARA LOGRAR LA META DE FACTURACUIÓN PRTOYECTADA POR CIDESI.</t>
  </si>
  <si>
    <t>SQ2100951</t>
  </si>
  <si>
    <t>ATENDER SERVICIO DE ENTREGA DE EQUIPO CALIBRADO A PROFECO COMBUSTIBLES EN LA CIUDAD DE MEXICO</t>
  </si>
  <si>
    <t>CQ2100873</t>
  </si>
  <si>
    <t>SERVICIO DE ENTREGA DE EQUIPO CALIBRADO Y RECOLECTA DE EQUIPO PARA SU CALIBRACION EN PROFECO COMBUSTIBLES</t>
  </si>
  <si>
    <t>ENTREGA DE EQUIPO CALIABRADO (LOTES DE MEDIDAS VOLUMETRICAS, FLUJOMETROS TIPO MASICO Y CRONOMETROS) Y RECOLECTA (DE MEDIDAS VOLUMETRICAS DE 2O LITROS) PARA SU CALIBRACION EN CIDESI DE LOTE</t>
  </si>
  <si>
    <t>SE CUMPLIÓ SATISFACTORIAMENTE EL SERVICIO PROGRAMADO</t>
  </si>
  <si>
    <t>SQ2100996</t>
  </si>
  <si>
    <t>ATENDER SERVICIO DE CALIBRACIO, RECOLECTA Y ENTREGA DE EQUIPO DE MEDICION EN LA ODECO DE PROFECO, ZONA METROPOLITANA DE MONTERREY</t>
  </si>
  <si>
    <t>MONTERREY</t>
  </si>
  <si>
    <t>CQ2100923</t>
  </si>
  <si>
    <t>SE ATENDIÓ LA ODECO DE PROFECO ZONA METROPOLITANA DE MONTERREY, NUEVO LEON</t>
  </si>
  <si>
    <t>SE REALIZÓ SERVICIO DE CALIBRACION, REPARACION Y AJUSTE DE BASCULAS MECANICAS Y ELECTRONICAS HASTA 150 kg, RECOLECTA Y ENTREGA DE EQUIPO CALIBRADOS (FLUJOMETRO, CRONOMETROS. MEDIDAS VOLUMETRICAS DE 2 Y 20 LITROS, LONGIMETROS Y TERMOMETROS, A LA ODECO, ZONA METROPOLITANA MONTERREY</t>
  </si>
  <si>
    <t>ESTA CTIVIDAD CONTRIBUYE PARA LOGRAR LA META DE FACTURACION PROYECTADA POR CIDESI.</t>
  </si>
  <si>
    <t>ALEJANDRO</t>
  </si>
  <si>
    <t>CASTILLO</t>
  </si>
  <si>
    <t>ESTRADA</t>
  </si>
  <si>
    <t>SQ2100690</t>
  </si>
  <si>
    <t>Entregar un densimetro de Inmersión, equipo  de Densidad para ensayo Ciatec-Cidesi, se viaja en vehiculo propiedad del centro.</t>
  </si>
  <si>
    <t>CQ2100594</t>
  </si>
  <si>
    <t>000241Alimentos NacionalesCQ21</t>
  </si>
  <si>
    <t>Apoyo al laboratorio de Volumen, entrega de equipo para su calibración programada en CIATEC en León,Gto.</t>
  </si>
  <si>
    <t>Se logro el objetivo con éxito</t>
  </si>
  <si>
    <t>Se contribuye con CIDESI realizando actividades diversas que se me asignen</t>
  </si>
  <si>
    <t>SQ2100711</t>
  </si>
  <si>
    <t>Apoyo a recolectar Densímetro de ensayo de aptitud del laboratorio de Volumenen CIATEC de león,gto.</t>
  </si>
  <si>
    <t>LEÓN</t>
  </si>
  <si>
    <t>CQ2100626</t>
  </si>
  <si>
    <t>Se logró el objetivo con éxito</t>
  </si>
  <si>
    <t>SQ2100783</t>
  </si>
  <si>
    <t>Entrega de equipos a calibración en CALTECHNIX,CANAMEX y recolección de patrones en INSCO DE MÉXICO y entregar a la PROFECO de calle 10 en la cd de méxico</t>
  </si>
  <si>
    <t>CQ2100689</t>
  </si>
  <si>
    <t>Entrega de equipos a calibración en CALTECHNIX,CANAMEX,recolección de patrones en INSCO DE MÉXICO y entregar a la PROFECO de calle 10 en la cd de méxico</t>
  </si>
  <si>
    <t>Se logró el servicio de entrega y recolecta de equipos con éxito</t>
  </si>
  <si>
    <t>Se contribuye con cidesi realizando actividades diversas laborales que se me asignen</t>
  </si>
  <si>
    <t>SQ2100824</t>
  </si>
  <si>
    <t>Apoyo a entrega de válvulas de seguridad en INDUSTRIAS MICHELIN de león,gto.</t>
  </si>
  <si>
    <t>CQ2100730</t>
  </si>
  <si>
    <t>Se logró el servicio de entrega de equipos calibrados al cliente INDUSTRIAS MICHELIN con éxito</t>
  </si>
  <si>
    <t>Se contribuye con  CIDESI ralizando actividades diversas laborales que se me asignen</t>
  </si>
  <si>
    <t>SQ2100813</t>
  </si>
  <si>
    <t>Apoyo a entrega de patrón ( Multímetro Agilet 3458) en CIDESI  Nuevo,león y recolectar calibrador Fluke 5520 para su posterior ingreso a calibración en SEPRI</t>
  </si>
  <si>
    <t>APODACA</t>
  </si>
  <si>
    <t>CQ2100800</t>
  </si>
  <si>
    <t>Se logró el apoyo para entrega de patrón de CIDESI NUEVO LEÓN con éxito</t>
  </si>
  <si>
    <t>SQ2100881</t>
  </si>
  <si>
    <t>Apoyo a entrega de patrón de electrica de CIDESI nuevo,león. en SEPRI de la cd de méxico</t>
  </si>
  <si>
    <t>CQ2100792</t>
  </si>
  <si>
    <t>Se logró el apoyo de entrega de patrón de electrica en Sepri con éxito</t>
  </si>
  <si>
    <t>Se contribuye con CIDESI realizando actividades diversas laborales que se me asignen</t>
  </si>
  <si>
    <t>GERENCIA DE METROLOGÍA MECÁNICA</t>
  </si>
  <si>
    <t>MARCO ANTONIO</t>
  </si>
  <si>
    <t>ALVAREZ</t>
  </si>
  <si>
    <t>ARMAS</t>
  </si>
  <si>
    <t>SQ2100924</t>
  </si>
  <si>
    <t>Calibración de un sistema de visión en la empresa Hannohashi Manufacturing en la ciudad de Silao, Gto.</t>
  </si>
  <si>
    <t>CQ2100855</t>
  </si>
  <si>
    <t>000330Alimentos NacionalesCQ21</t>
  </si>
  <si>
    <t>Calibración de un sisitema de visión en la empresa Sannohashi Manufacturing</t>
  </si>
  <si>
    <t>Transporte a la empresa por la mañana, calibración del equipo y regreso a CIDESI.</t>
  </si>
  <si>
    <t>Se calibró.</t>
  </si>
  <si>
    <t>Se facturo para el centro $8 253.00 más IVA.</t>
  </si>
  <si>
    <t>JOSE LUIS</t>
  </si>
  <si>
    <t>GONZALEZ</t>
  </si>
  <si>
    <t>LOPEZ</t>
  </si>
  <si>
    <t>SQ2100723</t>
  </si>
  <si>
    <t>LEVANTAMIENTO DE INFORMACIÓN EN LAS ESTACIONES DE COMBUSTIBLE, EN MATAMOROS Y NUEVO LAREDO.</t>
  </si>
  <si>
    <t>MATAMOROS</t>
  </si>
  <si>
    <t>CQ2100662</t>
  </si>
  <si>
    <t>000377Alimentos NacionalesCQ21</t>
  </si>
  <si>
    <t>Levantamiento de estado actual de la estacion de matamoros y nuevo laredo</t>
  </si>
  <si>
    <t>levantamiento de medidas y actualizacion de planos del sistema contra incendios</t>
  </si>
  <si>
    <t>Se obtuvieron las dimensiones de los diques, tanques y la linea del sistema contra incendios</t>
  </si>
  <si>
    <t>Se actualizaran los palnaos asi como se propondran un nuevo sistema contra incendios</t>
  </si>
  <si>
    <t>000377Hospedaje NacionalCQ2100</t>
  </si>
  <si>
    <t>000377CasetasCQ2100662</t>
  </si>
  <si>
    <t>SQ2100974</t>
  </si>
  <si>
    <t>Revisión de avances de proyecto con cliente ASA</t>
  </si>
  <si>
    <t>CQ2100903</t>
  </si>
  <si>
    <t>Aceptacion de diseño conceptual de sistema contra incendios de la estacion de Matamoros</t>
  </si>
  <si>
    <t>Presentacion de los avances de l diseño conceptual</t>
  </si>
  <si>
    <t>Se levanto minuyta de los cambio y se logro estar de acuerdo con los avances y se procede al diseño de detalle</t>
  </si>
  <si>
    <t>cambio en las posiciones de los componenetes</t>
  </si>
  <si>
    <t>GERENTA / GERENTE DE DISEÑO, FABRICACIÓN Y ENSAMBLE DE MATERIALES</t>
  </si>
  <si>
    <t>GERENCIA DE DISEÑO, FABRICACIÓN Y ENSAMBLE DE MATERIALES</t>
  </si>
  <si>
    <t>ARIEL</t>
  </si>
  <si>
    <t>DORANTES</t>
  </si>
  <si>
    <t>CAMPUZANO</t>
  </si>
  <si>
    <t>SQ2100757</t>
  </si>
  <si>
    <t>Revision de propuesta de camara para pintura en CUMMINS</t>
  </si>
  <si>
    <t>SAN LUIS POTOSI</t>
  </si>
  <si>
    <t>CQ2100668</t>
  </si>
  <si>
    <t>000379Alimentos NacionalesCQ21</t>
  </si>
  <si>
    <t>Realizar el levantamiento para realizar una propuesta tecnico economica para un proceso de pintura de estatores  CUMMINS  Entregar reportes de servicio MABE</t>
  </si>
  <si>
    <t xml:space="preserve">revision de la operacion manual actual revision de nuevo requeriiento acuerdos </t>
  </si>
  <si>
    <t>Se realizo el levantamiento Se acordaron los alcances se establecio fecha de entrega  se entregaron los reportes de servicio MABE</t>
  </si>
  <si>
    <t>a la comercializacion  Cierre de servicio</t>
  </si>
  <si>
    <t>SQ2101028</t>
  </si>
  <si>
    <t>Visita con cliente para revision de propuesta de proyecto BATZ</t>
  </si>
  <si>
    <t>CQ2100944</t>
  </si>
  <si>
    <t>Visitar al cliente para revisar un nuevo requerimiento de cotizacion de proyecto</t>
  </si>
  <si>
    <t>revision de requerimiento visita al piso de trabajo acuerdos</t>
  </si>
  <si>
    <t>se realizo levantamiento del requerimiento</t>
  </si>
  <si>
    <t>comercializacion</t>
  </si>
  <si>
    <t>GERENCIA DE SISTEMAS MECÁNICOS</t>
  </si>
  <si>
    <t>LUIS</t>
  </si>
  <si>
    <t>DEL LLANO</t>
  </si>
  <si>
    <t>VIZCAYA</t>
  </si>
  <si>
    <t>SQ2100989</t>
  </si>
  <si>
    <t>EXPLICACION DE REPORTE DE SIMULACION Y CIERRE DE PROYECTO QS0611</t>
  </si>
  <si>
    <t>CQ2100913</t>
  </si>
  <si>
    <t>000385Alimentos NacionalesCQ21</t>
  </si>
  <si>
    <t>SE PRESENTO  REPORTE DE SIMULACION, RESOLVIENDO PREGUNTAS Y POSTERIORMENTE  ENTREGA DE DOCUMENTO A FIRMA DE CIERRE DE PROYECTO QS0611</t>
  </si>
  <si>
    <t>ACLARACION DE DUDAS SOBRE REPORTE DE SIMULACION Y FIRMA DE  CIERRE DE PROYECTO QS0611</t>
  </si>
  <si>
    <t>ATENCION CLIENTE HINO MOTORS- PREVIENDO NUEVOS SERVICION DE SIMULACION E INTEGRIDAD ESTRUCTURAL</t>
  </si>
  <si>
    <t>MIGUEL ANGEL</t>
  </si>
  <si>
    <t>VARGAS</t>
  </si>
  <si>
    <t>NAVARRO</t>
  </si>
  <si>
    <t>SQ2100668</t>
  </si>
  <si>
    <t>intercambio de camioneta y apoyo para entrega y recolecta de instrumentos de calibración PROFECO Nota: se solicita caseta debido a que en algunas casetas en algunos estados no tienen servicio TAG. Nota: La comisión ampara las 24 horas</t>
  </si>
  <si>
    <t>SINALOA</t>
  </si>
  <si>
    <t>CQ2100597</t>
  </si>
  <si>
    <t>000392Hospedaje NacionalCQ2100</t>
  </si>
  <si>
    <t xml:space="preserve">Comisión a la ciudad de Mazatlan para llevar vehículo de reemplazo y recuperar la camioneta Ram 4000 por daño en motor,  </t>
  </si>
  <si>
    <t>se traslado a esa ciudad con un vehículo express de carga para entregarlo a compañeros que se les averió la camioneta Ram 4000, misma que quedo a mi resguardo hasta que el servicio de grua la recogió y remolcó a Cidesi Qro. Les comentó que mis gastos fueron superiores a los depositados por estos motivos: 1.-  Esta comisión se solicitó del martes 23 al viernes 27 de julio, pero por problemas de logistica se tuvo que prolongar mi regreso el sábado 28 de julio (un día más, que no se cubrió en mi solicitudde comisión) 2.- La ciudad de Mazatlan, en esta temporada vacacional se considera temporada ¨alta¨ por lo que los precios suben un incremento.</t>
  </si>
  <si>
    <t>Satisfactorios, se cumplio con la entrega del vehículo a los compañeros, así mismo la entrega de la unidad Ram 4000 al proveedor del traslado</t>
  </si>
  <si>
    <t>al proyecto QS0609 Profeco DGVV-DGVC 2021</t>
  </si>
  <si>
    <t>000392Alimentos NacionalesCQ21</t>
  </si>
  <si>
    <t>000392CasetasCQ2100591CQ210059</t>
  </si>
  <si>
    <t>Autobús</t>
  </si>
  <si>
    <t>000392AutobúsCQ2100591CQ210059</t>
  </si>
  <si>
    <t>SQ2100735</t>
  </si>
  <si>
    <t>Entrega y Recolección de Equipos para las delegaciones de la Profeco de Morelia, Colima y Guadalajara (esta comisión ampara las 24 h)</t>
  </si>
  <si>
    <t>GUADALAJARA</t>
  </si>
  <si>
    <t>CQ2100672</t>
  </si>
  <si>
    <t>Cubrir la entrega y recolección de equipos a las delegaciones de la Profeco siguientes (16 de agosto Morelia); (17 de agosto, Guadalajara) y (18 de agosto, Bahía de Banderas, Tepic) y regreso a la cd de Qro 19 de agosto.</t>
  </si>
  <si>
    <t>Se entregaron equipos en estas delegaciones SE EXTRAVIO LA TARJETA DE COMBUSTIBLE ASIGNADA Y SE REPORTO A ISRAEL PEREZ LECONA, SUSTITUYENDO POR OTRA, PERO QUE NUNCA SE PUDO ACTIVAR, POR LO QUE SE CUBRIO LA GASOLINA CON RECURSOS PROPIOS, ALGUNAS FACTURASLAS PRESENTÓ YO Y OTRAS MI COMPAÑERO HECTOR RAMIREZ CORONADO.</t>
  </si>
  <si>
    <t>Satisfactorios</t>
  </si>
  <si>
    <t>al proyecto QS0609 de Profeco DGVV-DGVC 2021</t>
  </si>
  <si>
    <t>000392Combustibles y lubricant</t>
  </si>
  <si>
    <t>000392CasetasCQ2100672</t>
  </si>
  <si>
    <t>SQ2100862</t>
  </si>
  <si>
    <t>Calibración de básculas, entregas y recolecciones de equipos de las delegaciones de Quintana Roo, Chiapas y Oaxaca (esta comisión ampara las 24 horas)</t>
  </si>
  <si>
    <t>CANCÚN</t>
  </si>
  <si>
    <t>CQ2100828</t>
  </si>
  <si>
    <t>Calibraciones de equipos, recolecciones y entregas de equipos calibrados en las delegaciones de: Cancún QRoo, Tuxtla Gutierrez, Chiapas y la ciudad de Oacaxa</t>
  </si>
  <si>
    <t>Se traslado a estas ciudades para llevar a cabo las entregas y recolecciones de equipos calibrados así como las calibraciones de básculas.</t>
  </si>
  <si>
    <t>Proy. QS0609 Profeco DGVV y DGVC 2021</t>
  </si>
  <si>
    <t>SQ2100987</t>
  </si>
  <si>
    <t>Entrega y Recolecciones de equipos, así como calibraciones a básculas a la delegación de Monterrey N.L. (esta comisión ampara las 24 h)</t>
  </si>
  <si>
    <t>CQ2100921</t>
  </si>
  <si>
    <t>Cubir la ruta de la Profeco en la delegación de Nuevo León, Calibraciones, recolecciones y entregas de equipos calibrados a esa Delegación</t>
  </si>
  <si>
    <t>Se llevó a cabo las calibraciones, entregas y recolecciones de equipos a esa delegación cubriendo la ruta 7 de este proyecto</t>
  </si>
  <si>
    <t>Proyecto QS0609</t>
  </si>
  <si>
    <t>MA. DEL CARMEN</t>
  </si>
  <si>
    <t>FLORES</t>
  </si>
  <si>
    <t>MUÑOZ</t>
  </si>
  <si>
    <t>SQ2100767</t>
  </si>
  <si>
    <t>Calibración de sistemas de visión a las empresas SENSATA TECHNOLOGIES DE MEXICO  y DONALSON en Aguascalientes, Ags. y calibración de sistemas de medición horizontal a la empresa PRETTL Electric del Bajío en la Cd. de Comonfort, Gto.</t>
  </si>
  <si>
    <t>AGUASCALIENTES</t>
  </si>
  <si>
    <t>CQ2100715</t>
  </si>
  <si>
    <t>000438Hospedaje NacionalCQ2100</t>
  </si>
  <si>
    <t>Asistir a las empresas SENSATA TECHNOLOGIES DE MEXICO y DONALDSON para realizar servicio de calibración</t>
  </si>
  <si>
    <t>Viaje de CIDESI Qro. a la Cd. de Aguascalientes, Ags. Translado de hotel a la empresa de DONALDSON para realizar servicio de calibración/ Regreso a hotel. /Translado de hotel a la empresa SENSATA TECHNOLOGIES DE MEXICO para realizar servicio de calibración./ Regreso a la Cd. de Querétaro</t>
  </si>
  <si>
    <t>Calibración de sistemas de visión a las empresas SENSATA TECHNOLOGIES DE MEXICO y DONALDSON en Aguascalientes, Ags.</t>
  </si>
  <si>
    <t>Apoyo a la industria a traves de servicios de calibración para asegurar que sus instrumentos de medición den resultados confiables.</t>
  </si>
  <si>
    <t>000438Alimentos NacionalesCQ21</t>
  </si>
  <si>
    <t>GERENTA / GERENTE DE ENERGÍA</t>
  </si>
  <si>
    <t>RAFAEL</t>
  </si>
  <si>
    <t>GOMEZ</t>
  </si>
  <si>
    <t>SQ2100530</t>
  </si>
  <si>
    <t>VISITA A LA SEDE CIDESI CIUDAD DEL CARMEN PARA REVISIÓN DE AVANCE DE OBRA Y ATENCIÓN DE REUNIONES DE TRABAJO CON CLIENTES Y PROVEEDORES.</t>
  </si>
  <si>
    <t>CIUDAD DEL CARMEN</t>
  </si>
  <si>
    <t>CQ2100528</t>
  </si>
  <si>
    <t>000459Alimentos NacionalesCQ21</t>
  </si>
  <si>
    <t>Visita a Villahermosa y Ciudad del Carmen, con el objetivo de entrevistarme con CIateq y Cominsa, para el fortalecimiento del consorcio de hidrocarburos y ver las estrategias para la conjunción de proyectos en común, también me reuní con la empresa Comansum, para ver proyectos en específicos.</t>
  </si>
  <si>
    <t>Reuniones y supervisión de los avances del obra en la Sede Campeche.</t>
  </si>
  <si>
    <t>Se verán tres proyectos en conjunto con los centros del consorcio y cotizaremos unos equipos para Comansum.</t>
  </si>
  <si>
    <t xml:space="preserve">Facilitar y cumplir con los objetivos del consorcio, así como la obtención de propuestas para cotizar. </t>
  </si>
  <si>
    <t>000459AutobúsCQ2100501CQ210050</t>
  </si>
  <si>
    <t>000459Hospedaje NacionalCQ2100</t>
  </si>
  <si>
    <t>BAQ210035</t>
  </si>
  <si>
    <t>REALIZAR VISITA A LA SEDE CAMPECHE PARA REVISIÓN DE AVANCE DE OBRA Y ATENCIÓN DE REUNIONES DE TRABAJO CON CLIENTES Y PROVEEDORES.</t>
  </si>
  <si>
    <t>Boletos de Avión Nacional (R1)</t>
  </si>
  <si>
    <t>CAQ210017</t>
  </si>
  <si>
    <t>000459Boletos de Avión Naciona</t>
  </si>
  <si>
    <t>VISITAR LA SEDE CAMPECHE PARA REVISIÓN DE AVANCE DE OBRA, ASÍ COMO ATENDER REUNIONES DE TRABAJO CON CLIENTES Y PROVEEDORES DE LA ZONA.</t>
  </si>
  <si>
    <t>RECORRIDO POR LAS INSTALACIONES DEL CENTRO, ASÍ COMO ATENCIÓN DE REUNIONES DE TRABAJO, VISITA A EMPRESAS CON POSIBLES CLIENTES Y PROVEEDORES DE LA ZONA.</t>
  </si>
  <si>
    <t>CONOCER EL AVANCE DE OBRA, ASÍ COMO ATENCIÓN DE REUNIONES CON CLIENTES POTENCIALES Y PROVEEDORES DE LA ZONA.</t>
  </si>
  <si>
    <t>GESTIÓN INSTITUCIONAL.</t>
  </si>
  <si>
    <t>SQ2100571</t>
  </si>
  <si>
    <t>VISITA A CLIENTE BIBOZ SOLUCIONES EN LA CD. DE SALAMANCA PARA SEGUIMIENTO DE PROYECTO.</t>
  </si>
  <si>
    <t>CQ2100506</t>
  </si>
  <si>
    <t>Reunión con biboz para la planificación del proyecto de sistemas contraincendio.</t>
  </si>
  <si>
    <t>Planificación de proyecto y costos del mismo.</t>
  </si>
  <si>
    <t>Elaboración de la propuesta y definición de actividades.</t>
  </si>
  <si>
    <t>Participación de CIDESI en proyectos del sector petrolero.</t>
  </si>
  <si>
    <t>SQ2100572</t>
  </si>
  <si>
    <t>CQ2100513</t>
  </si>
  <si>
    <t>Visitar a smi para posibles proyectos en conjunto.</t>
  </si>
  <si>
    <t>Revisión de catálogo de proyectos.</t>
  </si>
  <si>
    <t>Empezar con las cotizaciones de posibles proyectos en conjunto.</t>
  </si>
  <si>
    <t xml:space="preserve">Ampliación de los estándares de proyectos a un mayor nivel. </t>
  </si>
  <si>
    <t>SQ2100608</t>
  </si>
  <si>
    <t>VISITA A SEDE CAMPECHE PARA COMERCIALIZACIÓN DE LA SEDE ANTE EMPRESAS DE LOS ESTADOS DE CAMPECHE, TABASCO Y YUCATÁN, ASÍ COMO LA OFERTA DE SERVICIOS A EMPRESAS DEL RAMO PETROLERO, AGRICULTOR Y  PESQUERO DE CAMPECHE.</t>
  </si>
  <si>
    <t>TORRES ARELLANO MAURICIO</t>
  </si>
  <si>
    <t>CQ2100596</t>
  </si>
  <si>
    <t>Visita a Ciudad del Carmen, con el objetivo de atender reuniones de trabajo con CIateq y Cominsa, para el fortalecimiento del consorcio de hidrocarburos y ver las estrategias para la conjunción de proyectos en común y revisión de avances de la obra.</t>
  </si>
  <si>
    <t>Se verán tres proyectos en conjunto con los centros del consorcio y análisis de convenir o de colaboración con Pemex.</t>
  </si>
  <si>
    <t>Facilitar y cumplir con los objetivos del consorcio, así como la obtención de propuestas para cotizar.</t>
  </si>
  <si>
    <t>BAQ210038</t>
  </si>
  <si>
    <t>CAQ210020</t>
  </si>
  <si>
    <t>VISITAR LA SEDE CAMPECHE PARA PROMOVER LA COMERCIALIZACIÓN DE LA SEDE ANTE EMPRESAS DE LOS ESTADOS CERCANOS, ASÍ COMO REALIZAR LA OFERTA DE SERVICIOS A EMPRESAS DEL RAMO PETROLERO, AGRICULTOR Y PESQUERO.</t>
  </si>
  <si>
    <t>ATENDER REUNIONES DE TRABAJO CON CIATEQ, COMINSA, DIAVAZ, PARA REVISIÓN DE PROYECTOS EN CONJUNTO.</t>
  </si>
  <si>
    <t>REVISIÓN DE PROYECTOS A REALIZAR EN CONJUNTO CON OTRAS EMPRESAS.</t>
  </si>
  <si>
    <t>SQ2100748</t>
  </si>
  <si>
    <t>VISITA A LAS CIUDADES DE TABASCO PARA ENTREVISTA CON EMPRESA  KODIAC Y  CON EMPRESA PARA PROYECTO DE BIODICEL Y ATENDER REUNIONES DE TRABAJAO EN CAMPECHE CON CIATEC Y COMINSA.</t>
  </si>
  <si>
    <t>CAMPECHE</t>
  </si>
  <si>
    <t>CQ2100682</t>
  </si>
  <si>
    <t>Visita a Ciudad del Carmen y Villahermosa, con el objetivo de entrevistarse con kodiak, petrofac soluciones ecológicas,  para el fortalecimiento del consorcio de hidrocarburos y ver las estrategias para la conjunción de proyectos en común y revisiónde avances de la obra.</t>
  </si>
  <si>
    <t>Se verán tres proyectos con la empresas que visitaron la Sede.</t>
  </si>
  <si>
    <t>000459AutobúsCQ2100682CQ210068</t>
  </si>
  <si>
    <t>BAQ210044</t>
  </si>
  <si>
    <t>CAQ210025</t>
  </si>
  <si>
    <t xml:space="preserve">VISITA A CIUDAD DEL CARMEN Y VILLAHERMOSA CON EL OBJETIVO DE ATENDER REUNIONES DE TRABAJO CON  DIVERSAS EMPRESAS DE LA ZONA PARA EL FORTALECIMEINTO DEL CONSORCIO DE HIDROCARBUROS Y VER LAS ESTRATEGIAS PARA LA CONJUNCIÓN DE PROYECTOS EN COMÚN.  </t>
  </si>
  <si>
    <t>ATENCIÓN DE REUNIONES PROGRAMADAS Y REVISIÓN DE AVANCE DE OBRA EN LA SEDE CAMPECHE.</t>
  </si>
  <si>
    <t>SEGUIMIENTO Y ANÁLISIS DE PROYECTOS EN CONJUNTO.</t>
  </si>
  <si>
    <t>CUMPLIR CON LOS OBJETIVOS DEL CONSORCIO.</t>
  </si>
  <si>
    <t>SQ2100829</t>
  </si>
  <si>
    <t>TRASLADO A LA REFINERÍA DE SALAMANCA PARA ATENCIÓN DE REUNIÓN DE TRABAJO.</t>
  </si>
  <si>
    <t>CQ2100733</t>
  </si>
  <si>
    <t>Reunión con el superintendente de mantenimiento y colaboradores de la refinería.</t>
  </si>
  <si>
    <t>Recorrido por la planta  U 10 y patios de maniobras.</t>
  </si>
  <si>
    <t>Ante proyecto de  de ingeniería planta U 10</t>
  </si>
  <si>
    <t>Elaboración de propuesta.</t>
  </si>
  <si>
    <t>BAQ210048</t>
  </si>
  <si>
    <t>VISITA A SEDE CAMPECHE PARA DAR SEGUIMIENTO A CLIENTES Y SUPERVICIÓN DE AVANCE DE OBRA.</t>
  </si>
  <si>
    <t>CAQ210030</t>
  </si>
  <si>
    <t>Visita a Ciudad del Carmen y Villahermosa, con el objetivo de entrevistarse con empresas del sector  para el fortalecimiento del consorcio de hidrocarburos y ver las estrategias para la conjunción de proyectos en común y revisión de avances de la obra.</t>
  </si>
  <si>
    <t>SQ2100817</t>
  </si>
  <si>
    <t>CQ2100794</t>
  </si>
  <si>
    <t>Visita a la Sede Campeche para atención de clientes y revisión de las instalaciones.</t>
  </si>
  <si>
    <t>Reunión con cátedras y Personal de Cidesi Campeche así como reunión con clientes videoconferencia.</t>
  </si>
  <si>
    <t>Elaboración de propuestas y revisión de bases de licitación.</t>
  </si>
  <si>
    <t>Trabajar con las pequeñas y medianas empresas en proyectos de innovación tecnológica.</t>
  </si>
  <si>
    <t>000459AutobúsCQ2100794CQ210079</t>
  </si>
  <si>
    <t>Transporte local (taxi, colectivo, etc)</t>
  </si>
  <si>
    <t>000459Transporte local (taxi,C</t>
  </si>
  <si>
    <t>CARLOS</t>
  </si>
  <si>
    <t>TOVAR</t>
  </si>
  <si>
    <t>ALBARRAN</t>
  </si>
  <si>
    <t>SQ2100611</t>
  </si>
  <si>
    <t>Visita al  Hospital General de Tlahuac en la Cd. de México para transportar material para validación de ventiladores.</t>
  </si>
  <si>
    <t>CQ2100601</t>
  </si>
  <si>
    <t>000483Alimentos NacionalesCQ21</t>
  </si>
  <si>
    <t>Entrtega de material y firma de documentación</t>
  </si>
  <si>
    <t>Se entrego el material y se firmo la documentación</t>
  </si>
  <si>
    <t>SQ2100625</t>
  </si>
  <si>
    <t>TRANSPORTAR EQUIPO DE VENTILADORES AL ALMACÉN GENERAL DEL ISSSTE EN LA CD. DE MÉXICO.</t>
  </si>
  <si>
    <t>CQ2100579</t>
  </si>
  <si>
    <t>000483Hospedaje NacionalCQ2100</t>
  </si>
  <si>
    <t>Actutualizar 50 ventiladores Ehecalt para enviar a Cuba</t>
  </si>
  <si>
    <t>Ensamble, pruebas y entrega de 50 ventiladores</t>
  </si>
  <si>
    <t>Se enviaron 50 Ventiladores y se entregaron a la Sedena</t>
  </si>
  <si>
    <t>SQ2100641</t>
  </si>
  <si>
    <t>TRASLADO A LA CD. DE MÉXICO PARA CONSEGUIR TOMAS MURALES CON PROVEEDOR PARA PROYECTO DE VENTILADORES.</t>
  </si>
  <si>
    <t>CQ2100581</t>
  </si>
  <si>
    <t>Se soluciono el problema ya no fue necesario quedarse en CDMEX</t>
  </si>
  <si>
    <t>SQ2100653</t>
  </si>
  <si>
    <t>TRASLADO A LA CD. DE PUEBLA PARA DAR CAPACITACIÓN EN HOSPITAL ISSSTE Y POSTERIOR TRASLADO AL ALMACÉN GENERAL DEL ISSSTE EN LA CD. DE MÉXICO PARA ATENDER LAS INTERVENCIONES PARA LOS VENTILADORES  Ehécatl 4T</t>
  </si>
  <si>
    <t>CQ2100587</t>
  </si>
  <si>
    <t>Actualizar y embarcar 100 ventiladores ehecalt</t>
  </si>
  <si>
    <t>SQ2100776</t>
  </si>
  <si>
    <t>Dar soporte a la entrega de ventiladores</t>
  </si>
  <si>
    <t>CQ2100700</t>
  </si>
  <si>
    <t>Entregar equipo análizador de gases calibrado a la brigada en el ISSSTE hospital General Tepic Nayarit</t>
  </si>
  <si>
    <t>Entrega y verificación de equipo calibrado y recolección de equipo no calibrado</t>
  </si>
  <si>
    <t>Entrega del equipo análizador de gases</t>
  </si>
  <si>
    <t>Entrega de equipo y verificación en campo de que el análizador calibrado</t>
  </si>
  <si>
    <t>SQ2100786</t>
  </si>
  <si>
    <t>TRASLADO AL HOSPITAL DE TLÁHUAC EN LA CD. DE MÉXICO PARA REALIZAR ACTUALIZACIÓN DE QR EN MONITOR DE VENTILADORE EHÉCALT.</t>
  </si>
  <si>
    <t>CQ2100708</t>
  </si>
  <si>
    <t>Actualizar software a 10 ventiladores mecánicos Ehécatl 4T en el Hospital de Tláhuac</t>
  </si>
  <si>
    <t>Se selecionaron 5 ventiladores del pabellon de hombres y 5 del de mujeres.</t>
  </si>
  <si>
    <t>Se actualizó de 10 ventiladores mecánicos</t>
  </si>
  <si>
    <t>ayuda en la instalación de software</t>
  </si>
  <si>
    <t>SQ2100838</t>
  </si>
  <si>
    <t>TRASLADO AL HOSPITAL ISSSTE CHILPANCINGO DE LOS BRAVO GRO. PARA ENTREGA DE 10 KITS PACIENTES.</t>
  </si>
  <si>
    <t>GUERRERO EXCEPTO ACAPULCO</t>
  </si>
  <si>
    <t>CQ2100795</t>
  </si>
  <si>
    <t>Entregar Kits pacientes del ventilador Ehécatl</t>
  </si>
  <si>
    <t>Entrega de kits pacientes</t>
  </si>
  <si>
    <t>Se entregaron los kits pacientes</t>
  </si>
  <si>
    <t>Entregar kits pacientes</t>
  </si>
  <si>
    <t>SQ2100882</t>
  </si>
  <si>
    <t>Visita al Hospital General José María Morelos y Pavón, en la Cd. de México, para dar mantenimiento de ventiladores Ehécatl 4T.</t>
  </si>
  <si>
    <t>CQ2100826</t>
  </si>
  <si>
    <t>Dar mantenimiento a ventiladores Ehécatl 4T</t>
  </si>
  <si>
    <t>Coordinar el mantenimiento y hablar con usuarios</t>
  </si>
  <si>
    <t>Se dío el mantenimiento</t>
  </si>
  <si>
    <t>SQ2100983</t>
  </si>
  <si>
    <t>Visita al  hospital Regional ISSSTE Veracruz, para atención y seguimiento a tema de Ventiladores.</t>
  </si>
  <si>
    <t>VERACRUZ</t>
  </si>
  <si>
    <t>CQ2100934</t>
  </si>
  <si>
    <t>Vista para atender tema de los ventiladores 10 en el Hospital Regtional ISSSTE Veracruz</t>
  </si>
  <si>
    <t>Visita, reparacion de monitores y agendar visita a pie de cama</t>
  </si>
  <si>
    <t>Se Atendio dos ventiladores con monitores que estaban mal conectados del monitor y se agendo visita la siguiente semana para dar servicio a pie de cama</t>
  </si>
  <si>
    <t>Ayudar en el mal funcionamiento de de monitores y agendar la visita a pie de cama</t>
  </si>
  <si>
    <t>ESTELA</t>
  </si>
  <si>
    <t>ESCOTO</t>
  </si>
  <si>
    <t>SERRANO</t>
  </si>
  <si>
    <t>SQ2100563</t>
  </si>
  <si>
    <t>Servicio de  calibración  a  planta  CEMEX -HUICHAPAN</t>
  </si>
  <si>
    <t>HIDALGO</t>
  </si>
  <si>
    <t>CQ2100527</t>
  </si>
  <si>
    <t>000498Hospedaje NacionalCQ2100</t>
  </si>
  <si>
    <t>servicio  de  calibracion</t>
  </si>
  <si>
    <t>servicoio  de  calñibracion  de  sensores  de  cusrto y  sistema  de  medicion  en laboratorio  de  pruebas en  CEMEX HUICHAPAN</t>
  </si>
  <si>
    <t>calibracion  de 6 termometros</t>
  </si>
  <si>
    <t>proyecto</t>
  </si>
  <si>
    <t>SQ2100569</t>
  </si>
  <si>
    <t>recoleccion de equipos  pertenecientes  a  laboratorio  PROFECO  en la  ciudad  de  mexico</t>
  </si>
  <si>
    <t>CQ2100507</t>
  </si>
  <si>
    <t>000498Alimentos NacionalesCQ21</t>
  </si>
  <si>
    <t>VISITA  A  LABORATORIO  NACIONAL DE  LA  PROCURADURIA  FEDERAL  DEL  CONSUMIDOR</t>
  </si>
  <si>
    <t>RECOLECCION,  REVISION Y  GESTION  PARA  CALIBRACION  DE  INSTRUMENTOS  DE  MEDICION  DE  LOS  LABORATORIOS,  QUIMICO BIOLÓGICOS  , ALIMENTOS, FISICO  QUIMICOS,   MECANICA,  ELECTRICA</t>
  </si>
  <si>
    <t>RECOLECCION  DE  197  INSTRUMENTOS  PARA  SERVICIO  DE  CALIBRACION</t>
  </si>
  <si>
    <t>PROYECTO  PROFECO</t>
  </si>
  <si>
    <t>SQ2100714</t>
  </si>
  <si>
    <t>RECOLECCION Y  ENTREGA  DE  EQUIPOS  CALIBRADOPS  DE  PROYECTO  DE  PROFECO LABORATORIO</t>
  </si>
  <si>
    <t>CQ2100637</t>
  </si>
  <si>
    <t>ENTREGA  Y  RECOLECCION DE  EQUIPOS</t>
  </si>
  <si>
    <t>RENTREGA  DE  192  INSTRUMENTOS  Y  RECOLECCION  DE  90 INSTRUMENTOS</t>
  </si>
  <si>
    <t>DE  CLIENTE   PROFECO  DE  CONTRATO DE  PROFECO LABORATORIO</t>
  </si>
  <si>
    <t>QS0610</t>
  </si>
  <si>
    <t>SQ2100750</t>
  </si>
  <si>
    <t>SERVICIO  DE  CALIBRACIÓN Y  CARACTERIZACION  DE  EQUIPO  PERTENECIENTE  A  PROFECO LABORATORIO, LA  COMISION  ABARCA  LAS  24h</t>
  </si>
  <si>
    <t>CQ2100702</t>
  </si>
  <si>
    <t>SERVICIO  DE  CALIBRACION Y  CARACTERIZACION  DE  EQUIPOS  DE  CLIENTE  PROFECO  CIUDAD  DE  MEXICO</t>
  </si>
  <si>
    <t>CARACTERIZACION  DE  EQUIPOS  EN  VARIAS  TEMPERATURAS Y  CALIBRACION DE  SENSOR  DE  ALGUNOS  EQUIPOS EN  SITIO</t>
  </si>
  <si>
    <t>CARACTERIZACION  DE  20  EQUIPOS</t>
  </si>
  <si>
    <t>SQ2100844</t>
  </si>
  <si>
    <t>entrega  y  recolecta  de  equipos  de  cliente  PROFECO LABORATORIO</t>
  </si>
  <si>
    <t>CQ2100804</t>
  </si>
  <si>
    <t>entrega  y  recoleccion  equipo</t>
  </si>
  <si>
    <t>entrega  de  equipo  calibrado  de  segundo  recoleccion  y  recoleccion  de  3ra  recoleccion  de  equipo  de  contrato  de  PROFECO LABORATORIO</t>
  </si>
  <si>
    <t>recoleccion  de  190  instrumentos  de   cliente  PROFECO LABORATORIO</t>
  </si>
  <si>
    <t>PROYECTO LABORATORIO</t>
  </si>
  <si>
    <t>SQ2101017</t>
  </si>
  <si>
    <t>servicio  de  calibracion  a  empresa  PLASTICS TECHNOLOGY</t>
  </si>
  <si>
    <t>CQ2100949</t>
  </si>
  <si>
    <t>servicio  de  calibracion  empres  PLASTICS  TECHNOLOGY</t>
  </si>
  <si>
    <t>CALIBRACION  DE  4  SENSORES  DE  UNA  MAQUINA  1 ,  1  SENSOR  DE  MAQUINA  2  Y  1  SENSOR  DE  HORNO  DE  TRATAMIENTO  TERMICO</t>
  </si>
  <si>
    <t>CALIBRACION  DE 6  TERMOMETROS  EN  SITIO</t>
  </si>
  <si>
    <t>PERRUSQUIA</t>
  </si>
  <si>
    <t>SQ2100715</t>
  </si>
  <si>
    <t>Levantamiento y diagnóstico de la estación del sistema contra incendios de la estación de Matamoros y Nuevo Laredo.</t>
  </si>
  <si>
    <t>NUEVO LAREDO</t>
  </si>
  <si>
    <t>CQ2100650</t>
  </si>
  <si>
    <t>000507Alimentos NacionalesCQ21</t>
  </si>
  <si>
    <t>Realizar el levantamiento y diagnóstico de sistema contra incendios de las estaciones de Matamoros y Nuevo Laredo.</t>
  </si>
  <si>
    <t>llevar a cabo el levantamiento de medidas de los diques,  tanques así como de las tuberías  y tomar  fotografías del sistema contra incendios de las estaciones de Matamoros y Nuevo Laredo.</t>
  </si>
  <si>
    <t>Se concluyó satisfactoriamente la visita a las estaciones.</t>
  </si>
  <si>
    <t>se propone la implementación de un sistema contra incendios de loop cerrado para es sistema contra incendios.</t>
  </si>
  <si>
    <t>000507Hospedaje NacionalCQ2100</t>
  </si>
  <si>
    <t>SQ2100836</t>
  </si>
  <si>
    <t>RELAIZAR  RUTA DE MANTENIMIENTO A LAS ESTACIONES DE COMBUSTIBLE DE AEROPUERTOS Y SERVICIOS AUXILIARES, SUPERVISIÓN Y REVISIÓN DE TODO EL MANTENIMIENTO DE LAS ESTACIONES DE COMBUSTIBLE.</t>
  </si>
  <si>
    <t>CIUDAD VICTORIA</t>
  </si>
  <si>
    <t>CQ2100773</t>
  </si>
  <si>
    <t>Apoyo técnico para el mantenimiento del sistema contra incendios de la estación de Cd. Victoria</t>
  </si>
  <si>
    <t>Desmontaja de piezas del sistema de bombeo, limpieza de piezas para su posterior montaje.</t>
  </si>
  <si>
    <t>Se abanzo en el mantenimiento se componentes</t>
  </si>
  <si>
    <t>cambio de piezas y refacciones del sistema de acoplamiento de motor a bomba.</t>
  </si>
  <si>
    <t>SQ2100890</t>
  </si>
  <si>
    <t>CQ2100829</t>
  </si>
  <si>
    <t>Mantenimiento al sistma de contra incendios.</t>
  </si>
  <si>
    <t>Limpieza y pintado de tuberías, colocación de carretes de espuma.</t>
  </si>
  <si>
    <t>Los ajustes quedaron adecuadamente.</t>
  </si>
  <si>
    <t>Se ajustaron algunas fugas de bomba y válvula check.</t>
  </si>
  <si>
    <t>SQ2100919</t>
  </si>
  <si>
    <t>REALIZAR  RUTA DE MANTENIMIENTO A LAS ESTACIONES DE COMBUSTIBLE DE AEROPUERTOS Y SERVICIOS AUXILIARES, SUPERVISIÓN Y REVISIÓN DE TODO EL MANTENIMIENTO DE LAS ESTACIONES DE COMBUSTIBLE.</t>
  </si>
  <si>
    <t>CQ2100880</t>
  </si>
  <si>
    <t>REALIZAR MANTENIMIENTO AL SISTEMA DE CONTRA INCENDIOS.</t>
  </si>
  <si>
    <t>LIMPIEZA Y PINTADO DE TUBERÍAS, COLOCACIÓN DE CARRETES DE ESPUMA.</t>
  </si>
  <si>
    <t>LOS AJUSTES QUEDARON ADECUADAMENTE.</t>
  </si>
  <si>
    <t xml:space="preserve">SE AJUSTARON ALGUNAS FUGAS DE BOMBA Y VÁLVULA CHECK. </t>
  </si>
  <si>
    <t>SQ2100962</t>
  </si>
  <si>
    <t>CQ2100911</t>
  </si>
  <si>
    <t>MANTENIMIENTO AL SISTEMA CONTRA INCENDIOS.</t>
  </si>
  <si>
    <t>LOS AJUSTES SE QUEDARON ADECUADAMENTE.</t>
  </si>
  <si>
    <t>SE AJUSTARON FUGAS DE BOMJBA Y VÁLVULA CHECK.</t>
  </si>
  <si>
    <t>JOSE ALFREDO</t>
  </si>
  <si>
    <t>MANZO</t>
  </si>
  <si>
    <t>PRECIADO</t>
  </si>
  <si>
    <t>SQ2100946</t>
  </si>
  <si>
    <t>Traslado y entrega de prototipo del proyecto Aimutal de METALMEC</t>
  </si>
  <si>
    <t>CQ2100908</t>
  </si>
  <si>
    <t>000512Hospedaje NacionalCQ2100</t>
  </si>
  <si>
    <t>Traslado de prototipo desarrollado en el proyecto QS0562 ACIMUTAL METALMEC, de las instalaciones de CIDESI a las instalaciones de la empresa METALMEC S.A.DE C.V. y realizar las pruebas y puesta a punto.</t>
  </si>
  <si>
    <t>Se realizó el traslado del prototipo y se realizaron las pruebas en planta tanto eléctricas como mecánicas..</t>
  </si>
  <si>
    <t>El prototipo fué aceptado.</t>
  </si>
  <si>
    <t>Con la entrega del prototipo y las pruebas realizadas en las instalaciones de la empresa, fue suficiente para que nos entregaran la carta de entrega recepción.</t>
  </si>
  <si>
    <t>000512Alimentos NacionalesCQ21</t>
  </si>
  <si>
    <t>NIELS GIOVANNI</t>
  </si>
  <si>
    <t>GARCIA</t>
  </si>
  <si>
    <t>TAPIA</t>
  </si>
  <si>
    <t>SQ2100539</t>
  </si>
  <si>
    <t>VISITA TECNICA EATON</t>
  </si>
  <si>
    <t>CQ2100481</t>
  </si>
  <si>
    <t>000529Alimentos NacionalesCQ21</t>
  </si>
  <si>
    <t>VISITA TECNICA EATON POWER SYSTEM</t>
  </si>
  <si>
    <t>SE RECOPILARON LOS DATOS VISUALES Y LAS OPERACIONES QUE SE REALIZAN PARA MEDIR UN MAIN CASE.  SE ESPERA CUMPLIR Y TERMINAR CON EL CONVENIO DE CONFIDENCIALIDAD PARA INTERCAMBIAR INFORMACIÓN.</t>
  </si>
  <si>
    <t>SE RECOPILARON LOS DATOS VISUALES Y LAS OPERACIONES QUE SE REALIZAN PARA MEDIR UN MAIN CASE.</t>
  </si>
  <si>
    <t>SQ2100652</t>
  </si>
  <si>
    <t>VISITA TECNICA CUMMINS</t>
  </si>
  <si>
    <t>CQ2100564</t>
  </si>
  <si>
    <t>VISITA A PLANTA CUMMINS &amp; CONTITECH, PARA TOMA DE INFORMACIÓN DE PROPUESTAS</t>
  </si>
  <si>
    <t>SE VISITARON LAS AREAS DE POWER SYSTEMS, MOTORES EN PLANTA CUMMINS Y SE ATENDIÓ VISITA EN PLANTA CONTITECH.</t>
  </si>
  <si>
    <t>SE CONCRETO EL ENVIÓ DE LAS PROPUESTAS AL MENOS PARA 4 PROYECTOS.</t>
  </si>
  <si>
    <t>ANGELINA</t>
  </si>
  <si>
    <t>MARTINEZ</t>
  </si>
  <si>
    <t>SQ2100712</t>
  </si>
  <si>
    <t>Entrega y recolecta de equipo de medición correspondiente a Profeco Laboratorio   Nota: La comisión ampara las 24 h</t>
  </si>
  <si>
    <t>CQ2100636</t>
  </si>
  <si>
    <t>000534Alimentos NacionalesCQ21</t>
  </si>
  <si>
    <t>Entrega y recolecta de equipo a Profeco Laboratorio</t>
  </si>
  <si>
    <t>SQ2100749</t>
  </si>
  <si>
    <t>Atender servicio de calibración de caracterización de equipos correspondientes a Profeco Laboratorio en la Ciudad de México.  Nota: La comisión ampara las 24 h</t>
  </si>
  <si>
    <t>CQ2100688</t>
  </si>
  <si>
    <t>Apoyo en la caracterización de equipo (Incubadoras, Baños, refrigeradores, etc.) correspondientes a Profeco Laboratorio</t>
  </si>
  <si>
    <t>SQ2100837</t>
  </si>
  <si>
    <t>Entrega y recolecta de equipo en la Ciudad de México correspondiente a Profeco Laboratorio  Nota: Esta comisión ampara las 24 h del día</t>
  </si>
  <si>
    <t>CQ2100758</t>
  </si>
  <si>
    <t>Entrega y recolecta de equipo correspondiente a la recoleccion 2 y 3 de Profec Laboratorio (Equipo de dimensional, masa, temperatura, volumen, erc.)</t>
  </si>
  <si>
    <t>FRANCISCO</t>
  </si>
  <si>
    <t>CRUZ</t>
  </si>
  <si>
    <t>MENDEZ</t>
  </si>
  <si>
    <t>SQ2100747</t>
  </si>
  <si>
    <t>Se realizara la calibración y caracterización de equipos en temperatura y Humedad en las instalaciones de PROFECO Laboratorio.  La comisión cubre las 24 Hrs. del dia y los dias que se solicitan en la comisión.</t>
  </si>
  <si>
    <t>CQ2100686</t>
  </si>
  <si>
    <t>000545Alimentos NacionalesCQ21</t>
  </si>
  <si>
    <t>Se realizo la calibración de equipo en las instalaciones de PROFECO laboratorio en la cd. de méxico.</t>
  </si>
  <si>
    <t>Calibración de equipo en las magnitudes de humedad y temperatura.</t>
  </si>
  <si>
    <t>Ingresoso para la gerencia.</t>
  </si>
  <si>
    <t>Satisfacción del cleinte.</t>
  </si>
  <si>
    <t>000545Hospedaje NacionalCQ2100</t>
  </si>
  <si>
    <t>RICARDO RAYMUNDO</t>
  </si>
  <si>
    <t>LAGUNA</t>
  </si>
  <si>
    <t>SQ2100546</t>
  </si>
  <si>
    <t>Realizar la calibración de medidores de flujo en las instalaciones del cliente de acuerdo a la Orden de compra 9800068872/31.05.2021, se viaja en vehiculo propiedad del centro.</t>
  </si>
  <si>
    <t>PUEBLA</t>
  </si>
  <si>
    <t>CQ2100511</t>
  </si>
  <si>
    <t>000565Hospedaje NacionalCQ2100</t>
  </si>
  <si>
    <t>servicio de calibracion de 11 medidores de flujo en la planta de audi en san jose chiapa puebla</t>
  </si>
  <si>
    <t>se realizo el servicio conforme a lo programado</t>
  </si>
  <si>
    <t>se calibraron 10 de 11 medidores de flujo</t>
  </si>
  <si>
    <t>se contribuye a los objetivos de la gerencia termofisica y de la direccion DIEE</t>
  </si>
  <si>
    <t>000565Alimentos NacionalesCQ21</t>
  </si>
  <si>
    <t>SQ2100594</t>
  </si>
  <si>
    <t>Realizar la calibración de medidores de flujo en las instalaciones de Volkswagen Puebla, de acuerdo a la orden de servicio OME210745, se viaje en vehiculo propiedad del centro.</t>
  </si>
  <si>
    <t>CQ2100578</t>
  </si>
  <si>
    <t>servicio de calibracion en sitio en planta de VW Puebla</t>
  </si>
  <si>
    <t>se caibraron 11 de medidores de flujo</t>
  </si>
  <si>
    <t>se contribuye a los objetivos de la gerencia y de la direccion</t>
  </si>
  <si>
    <t>SQ2100700</t>
  </si>
  <si>
    <t>Realizar la calibración de equipo de flujo en las instalaciones de GM Toluca, se viaja en vehiculo propiedad del centro.</t>
  </si>
  <si>
    <t>CQ2100638</t>
  </si>
  <si>
    <t>servicio de calibracion en planta de GM Toluca</t>
  </si>
  <si>
    <t>se reprogramo el servicio para mañana viernes en la planta de GM Toluca</t>
  </si>
  <si>
    <t>se reprograma el servicio por solicitud del cliente</t>
  </si>
  <si>
    <t>se contribuye a los objetivos de la gerencia</t>
  </si>
  <si>
    <t>SQ2100845</t>
  </si>
  <si>
    <t>Realizar la calibración de equipo de flujo en las instalaciones de GM Trec.Toluca. Se viaja en vehiculo propiedad del centro</t>
  </si>
  <si>
    <t>CQ2100791</t>
  </si>
  <si>
    <t>Servicio en sitio en la planta de GM Toluca</t>
  </si>
  <si>
    <t>se contribuye a los objetivos de la gerencia y direccion</t>
  </si>
  <si>
    <t>SQ2100963</t>
  </si>
  <si>
    <t>Realizar la calibración de medidores de flujo en las instalaciones de Siemens Energy s, de R.L. de C.V. que ampara la orden de servicio OME211143. Se viaja en vehiculo propiedad del centro</t>
  </si>
  <si>
    <t>CQ2100905</t>
  </si>
  <si>
    <t>servicio en sitio en la planta de Siemens Gto</t>
  </si>
  <si>
    <t>ROLANDO JAVIER</t>
  </si>
  <si>
    <t>VENEGAS</t>
  </si>
  <si>
    <t>CAMARENA</t>
  </si>
  <si>
    <t>SQ2100697</t>
  </si>
  <si>
    <t>Levantamiento de información en estación de combustibles de ASA Ciudad Obregón</t>
  </si>
  <si>
    <t>CIUDAD OBREGÓN</t>
  </si>
  <si>
    <t>CQ2100697</t>
  </si>
  <si>
    <t>000572Alimentos NacionalesCQ21</t>
  </si>
  <si>
    <t>Visita de levantamiento de estado de la estación de Ciudad Obregón. Revisión de equipos de sistema contra incendios y medición de distancias de tuberías.</t>
  </si>
  <si>
    <t>Se realizó entrevista con el personal, levantamiento de dimensiones y distancias de la estación, información detallada de bombas, tanques y sistemas de seguridad contra incendios.</t>
  </si>
  <si>
    <t>Se obtuvo una serie de fotografías de las condiciones en que se encuentra la estación, datos de especificaciones de motores de bombas y sistema eléctrico, dimensiones generales de tanques y distancias de la estación y las opiniones del personal parala reingeniería del sistma contra incendios.</t>
  </si>
  <si>
    <t>Este estudio permite calcular el presupiesto requerido para la actualización de los sistemas contra incendios de la estación y mantenerla en condiciones seguras de operación.</t>
  </si>
  <si>
    <t>000572Transporte local (taxi,C</t>
  </si>
  <si>
    <t>000572Hospedaje NacionalCQ2100</t>
  </si>
  <si>
    <t>000572AutobúsCQ2100623CQ210069</t>
  </si>
  <si>
    <t>000572Boletos de Avión Naciona</t>
  </si>
  <si>
    <t>BAQ210040</t>
  </si>
  <si>
    <t>Levantamiento de información en estación de combustibles de ASA Ciudad Obregón  Dest. Ciudad de México - Ciudad Obregón Periodo de comosion: 3/ago/2021 al 6/ago/2021</t>
  </si>
  <si>
    <t>CAQ210022</t>
  </si>
  <si>
    <t>Realización de levantamiento d las instalaciones del sistema contra incendios de la estación de combustibles ASA Ciudad Obregón para la elaboración de la reingeniería.</t>
  </si>
  <si>
    <t>Se llevó a cabo la medición de los espacios, distancias entre tanques,s toma de datos de especificaciones de equipos, entrevista con el jefe de estación y operarios para conocer sus inquietudes y experiencias con respecto al sistema contra incendios de la estación.</t>
  </si>
  <si>
    <t>Se obtuvieron datos de dimensiones, espacios, especificaciones de equipos para llevar a cabo la ingeniería y adecuación.</t>
  </si>
  <si>
    <t>Este trabajo conribuye a mantener la estación en condiciones seguras para poder atender eventualidades de incendios.</t>
  </si>
  <si>
    <t>SQ2100969</t>
  </si>
  <si>
    <t>Runión de trabajo con ASA</t>
  </si>
  <si>
    <t>CQ2100899</t>
  </si>
  <si>
    <t>Reunión de avances y seguimiento de proyecto ejecutivo para sistemas contra incendios.</t>
  </si>
  <si>
    <t>Asistencia a reunión de trabajo y presentación de avances de los trabajos de ingeniería.</t>
  </si>
  <si>
    <t>Se revisaron los avances de los trabajos de ingeniería y se aceptaron las propuestas. Se agregaron dos sugerencias.</t>
  </si>
  <si>
    <t>Mejora de la seguridad en las operaciones de las estaciones de combustibles de los aeropuertos.</t>
  </si>
  <si>
    <t>ENRIQUE</t>
  </si>
  <si>
    <t>BASILIO</t>
  </si>
  <si>
    <t>SQ2100562</t>
  </si>
  <si>
    <t>Realizar servicio de calibración de 1 comparador óptico y 1 mesa de planitud en las instalaciones del CIMAV unidad Chihuahua, Chih.</t>
  </si>
  <si>
    <t>CHIHUAHUA</t>
  </si>
  <si>
    <t>CQ2100512</t>
  </si>
  <si>
    <t>000586Hospedaje NacionalCQ2100</t>
  </si>
  <si>
    <t>Realizar servicio de calibración de 1 mesa de planitud y 1 comparador óptico en las instalaciones del Centro de Investigación en Materiales Avanzados (CIMAV) unidad Chihuahua.</t>
  </si>
  <si>
    <t>Traslado vía autobus Querétaro-Chihuahua Traslado Terminal de autobuses de Chihuahua- hotel Traslado hotel-CIMAV Realizar los servicios de calibración del comparador óptico y mesa de planitud, al concluir regreso al hotel. Traslado Hotel-Central de autobuses de Chihuahua Viaje de regreso Chihuahua-Querétaro. Traslado Terminal de Autobuses de Querétaro-Casa (Para inicio de cuarentena preventiva)</t>
  </si>
  <si>
    <t>Se realizaron las actividades programadas satisfactoriamente</t>
  </si>
  <si>
    <t>Se reactiva la atención de servicios de calbración en las instalaciones de los clientes dando seguimiento al proyecto de la Gerencia de Metrología Mecánica.</t>
  </si>
  <si>
    <t>000586Alimentos NacionalesCQ21</t>
  </si>
  <si>
    <t>000586Transporte local (taxi,C</t>
  </si>
  <si>
    <t>000586AutobúsCQ2100512CQ210051</t>
  </si>
  <si>
    <t>SQ2100766</t>
  </si>
  <si>
    <t>Realizar servicios de calibración en Caterpillar Industrias Mexico, otras empresas por confirmar de la región y en el laboratorio de Metrología dimensional de la sede del CIDESI en NL.</t>
  </si>
  <si>
    <t>CQ2100725</t>
  </si>
  <si>
    <t>Realizar servicios de calibración de 15 mesas de planitud en las instalaciones de Caterpillar Industrias México.Planta Ciénenga de Flores; NL. Realizar servicios de calibración de 2 mesas de planitud, 1 sistema de medición vertical y medidor de alturas en las instalaciones del CIDESI sede NL, en las áreas de manufactura y laboratorio de Metrología dimensional.</t>
  </si>
  <si>
    <t>El día domingo 22: traslado Querétaro-Apodaca NL, del lunes 23 al jueves 26 de agosto: traslado diario Hotel-Caterpillar Industrias México para la atención de los servicios de calibración de las 15 mesas de planitud; viernes 27 y sábado 28 realizar servicios de calibración de 2 mesas de planitud, 1 sistema de medición horizontal y 1 medidor de alturas en CIDESI sede NL, carga de equipo para atención de calibraciones en sede Querétaro, Traslado CIDESI NL- Querétaro.</t>
  </si>
  <si>
    <t>Se realizaron las actividades programadas satisfactoriamente y se calibraron 10 equipos adicionales a los considerados en la comisión inicial.</t>
  </si>
  <si>
    <t>Se le da seguimiento al proyecto de la gerencia mecánica en la atención de servicios de calibración en las instalaciones del cliente y se aprovecha el viaje para realizar servicios en nuestras instalaciones.</t>
  </si>
  <si>
    <t>SQ2100792</t>
  </si>
  <si>
    <t>Ampliación de comisión debido a trabajos adicionales en las instalaciones de Caterpillar Industrias Planta Cienega de Flores, NL</t>
  </si>
  <si>
    <t>CQ2100727</t>
  </si>
  <si>
    <t>Ampliación de la solicitud SQ2100766 Realizar servicios de calibración de 15 mesas de planitud en las instalaciones de Caterpillar Industrias México. Planta Ciénega de Flores; NL. Realizar servicios de calibración de 2 mesas de planitud, 1 sistema demedición vertical y medidor de alturas en las instalaciones del CIDESI sede NL, en las áreas de manufactura y laboratorio de Metrología dimensional.</t>
  </si>
  <si>
    <t>SQ2100921</t>
  </si>
  <si>
    <t>Realizar servicio de calibración de 1 comparador óptico con 3 lentes de amplificación en las instalaciones de PROFECO Laboratorio ubicadas en la Ciudad de México.</t>
  </si>
  <si>
    <t>CQ2100843</t>
  </si>
  <si>
    <t>Traslado a las instalaciones de PROFECO Laboratorio, realizar el servicio de calibración del comparador óptico, revisión del equipo con el usuario de PROECO, regreso a Querétaro.</t>
  </si>
  <si>
    <t>Se realizaron las actividades programadas satisfactoriamente.</t>
  </si>
  <si>
    <t>Se le da seguimiento al proyecto de calibración de instrumentos   en las instalaciones de PROFECO Laboratorio.</t>
  </si>
  <si>
    <t>GERENCIA DE ROBÓTICA E INSTRUMENTACIÓN</t>
  </si>
  <si>
    <t>ANTONIO</t>
  </si>
  <si>
    <t>SQ2100756</t>
  </si>
  <si>
    <t>Visita GOOD YEAR San Luis Potosi para verificarrequerimientos de posible desarrollo de proyecto</t>
  </si>
  <si>
    <t>CQ2100657</t>
  </si>
  <si>
    <t>000596Alimentos NacionalesCQ21</t>
  </si>
  <si>
    <t>Visita comercial a la empresa GOOD YEAR para posible desarrollo de proyecto. Se tomaron requerimientos.</t>
  </si>
  <si>
    <t>Se contacto a Efren Galarza quien proporciono los requerimientos.</t>
  </si>
  <si>
    <t>Contribuir en la solución de problemas en las  operaciones de las empresas,</t>
  </si>
  <si>
    <t>TÉCNICA/TÉCNICO DE PROYECTO</t>
  </si>
  <si>
    <t>ANDRES</t>
  </si>
  <si>
    <t>GUERRERO</t>
  </si>
  <si>
    <t>LUNA</t>
  </si>
  <si>
    <t>SQ2100773</t>
  </si>
  <si>
    <t>Medición de equipo en la empresa Goodyear</t>
  </si>
  <si>
    <t>CQ2100714</t>
  </si>
  <si>
    <t>000599Alimentos NacionalesCQ21</t>
  </si>
  <si>
    <t>El servicio de medición con Brazo Árticulado se realizó en tiempo y forma</t>
  </si>
  <si>
    <t>Mejoras</t>
  </si>
  <si>
    <t>GERENTA / GERENTE DE CONSTRUCCIÓN MECÁNICA Y MANUFACTURA</t>
  </si>
  <si>
    <t>GERENCIA DE CONSTRUCCIÓN MECÁNICA Y MANUFACTURA</t>
  </si>
  <si>
    <t>CELSO EDUARDO</t>
  </si>
  <si>
    <t>SQ2100574</t>
  </si>
  <si>
    <t>Visitar la sede NL para:  1. Revisar status de reparación de máquina Hartford. 2. Gestionar reparación electronica de equipo y soliictar el apoyo de DIEE. 3. Revisar pendientes en general sobre RA, HI´s a proyec 4. Entregar piezas de Jesus Elizalde. 5. Entregar material de seguridad etc.</t>
  </si>
  <si>
    <t>CQ2100685</t>
  </si>
  <si>
    <t>000604Alimentos NacionalesCQ21</t>
  </si>
  <si>
    <t>Vistitar la sede NL para verificar funcionamiento y mtto de máquina hartford, proyecto FRIDA, de paso entregar cosas de la administración y TI.</t>
  </si>
  <si>
    <t>Revisión de datos con personal de la sede. Revisión de planes de manufactura. Atención a problematica del personal.</t>
  </si>
  <si>
    <t>Se recolectó una tarjeta para reparación en DIEE. Se platicó sobre modelo matematico horas ing. y horas máq. Se revisó tematica de fabricación FRIDA.</t>
  </si>
  <si>
    <t>A la operación del centro y cumplimiento de los objetivos DIM-DG.</t>
  </si>
  <si>
    <t>000604Hospedaje NacionalCQ2100</t>
  </si>
  <si>
    <t>SQ2100675</t>
  </si>
  <si>
    <t>VISITA A CIDESI EDO. DE MÉXICO PARA CORTAR MATERIAL DEL PROYECTO FRIDA Y HACER LA ASIGNACIÓN PERTINENTE EN SEGUIMIENTO AL PLAN DE TRABAJO PLANEADO.</t>
  </si>
  <si>
    <t>CQ2100684</t>
  </si>
  <si>
    <t>Entregar material a la sede Edomex para maquinado de proyecto FRIDA.</t>
  </si>
  <si>
    <t>Viaje, revisión documental, seguimiento.</t>
  </si>
  <si>
    <t>Se entregó material y se inició la fabricación de componentes de escudos adiabáticos.</t>
  </si>
  <si>
    <t>Al desarrollo tecnológico, avance del proyecto FRIDA.</t>
  </si>
  <si>
    <t>SQ2100807</t>
  </si>
  <si>
    <t>Recoger piezas del proyecto QD0554-FRIDA y verificar los trabajos realizados.</t>
  </si>
  <si>
    <t>CQ2100848</t>
  </si>
  <si>
    <t>Recolectar piezas de proyecto FRIDA, QD0540 y piezas del proyecto INFRA Edomex. Así como seguimiento a las sede NL y su trabajo.</t>
  </si>
  <si>
    <t>Revisión, seguimiento y planeación de actividades.  Nota se eliminaron las facturas con un monto a favor de CIDESI de 142.45 MNX.</t>
  </si>
  <si>
    <t>Piezas recolectadas</t>
  </si>
  <si>
    <t>Al avance de los proyectos.</t>
  </si>
  <si>
    <t>SQ2100970</t>
  </si>
  <si>
    <t>Seguimiento de trabajos en la sede edomex, construcción mecánica.</t>
  </si>
  <si>
    <t>CQ2100906</t>
  </si>
  <si>
    <t>Visitar la sede para seguimiento del plan de trabajo, recoger piezas de prolec y FRIDA.</t>
  </si>
  <si>
    <t>Viaje, recolección, cotizaicones.</t>
  </si>
  <si>
    <t>Se concluyeron los trabajos.</t>
  </si>
  <si>
    <t>A la nueva estrategia.</t>
  </si>
  <si>
    <t>TECNICA TECNICO DE PROYECTO</t>
  </si>
  <si>
    <t>JUAN DE DIOS</t>
  </si>
  <si>
    <t>PESCADOR</t>
  </si>
  <si>
    <t>VIDAL</t>
  </si>
  <si>
    <t>SQ2100706</t>
  </si>
  <si>
    <t>Inspeccion por emision optica a dos tanques de acero inoxidable en planta de MISSION HILLS</t>
  </si>
  <si>
    <t>CQ2100630</t>
  </si>
  <si>
    <t>000608Alimentos NacionalesCQ21</t>
  </si>
  <si>
    <t>INSPECCION EN PLANTA DE MISSION HILLS EN SAN JOSE ITURBIDE POR EMISION OPTICA PORTATIL PARA CARACTERIZACION DE MATERIAL DE DOS TANUQES DE ACERO INOXIDABLE.</t>
  </si>
  <si>
    <t>PREPARACION Y CALIBRACION DE EQUIPO DE EMISION OPTICA PORTATIL INSPECCION POR EMISION OPTICA PORTATIL EN DOS TANQUES DE ACERO INOXIDABLE PARA DETERMINACION DE COMPOSICION QUIMICA.</t>
  </si>
  <si>
    <t>SATISFACTORIOS</t>
  </si>
  <si>
    <t>PROYECTO 000QS0594</t>
  </si>
  <si>
    <t>CHRISTIAN</t>
  </si>
  <si>
    <t>SQ2100870</t>
  </si>
  <si>
    <t>Servicio de inspeccion no destructiva para la empresa Manufacturas Kaltex</t>
  </si>
  <si>
    <t>CQ2100775</t>
  </si>
  <si>
    <t>000609Alimentos NacionalesCQ21</t>
  </si>
  <si>
    <t>Servicio de inspeccion no destructiva para la empresa Manufacturas Kaltex.</t>
  </si>
  <si>
    <t>Termino del servicio de acuerdo a programade trabajo.</t>
  </si>
  <si>
    <t>Inspeccion por los metodos de liquidos penetrantes y medicion de espesores por ultrasonido.</t>
  </si>
  <si>
    <t>Facturacion del servicio.</t>
  </si>
  <si>
    <t>SQ2100988</t>
  </si>
  <si>
    <t>Reunion de inicio de convenio plurianual MEX-108/2021-S celebrado con Aeropuertos y Servicios Auxiliares ASA, para realizar el proyecto de integridad mecanica 2021-2023</t>
  </si>
  <si>
    <t>NUÑEZ ALCOCER JOSE</t>
  </si>
  <si>
    <t>CQ2100909</t>
  </si>
  <si>
    <t>Reunion con personal de Aeropuertos y Servicios Auxiliares ASA para dar arranque a proyecto de integridad mecanica y convenio plurianual 2021 a 2023.</t>
  </si>
  <si>
    <t>Presentancion de programa de trabajo para ajuste de acuerdo a requerimientos recibidos.</t>
  </si>
  <si>
    <t>Planeacion del primer año del proyecto.</t>
  </si>
  <si>
    <t>Facturacion del proyecto.</t>
  </si>
  <si>
    <t>GABRIEL</t>
  </si>
  <si>
    <t>HURTADO</t>
  </si>
  <si>
    <t>HERNANDEZ</t>
  </si>
  <si>
    <t>SQ2100535</t>
  </si>
  <si>
    <t>atender servicio de balanzas de alta exactitud,</t>
  </si>
  <si>
    <t>CQ2100469</t>
  </si>
  <si>
    <t>000636Alimentos NacionalesCQ21</t>
  </si>
  <si>
    <t>atender cliente de minera peña de bernal para calibracion de equipos</t>
  </si>
  <si>
    <t>Se viajo a Peña de bernal para entrar a la minera y se tramitaron permisos y salida despues del servicio.</t>
  </si>
  <si>
    <t>Se calibrarón los equipos de Peña de Bernal, que son ultra balanzas.</t>
  </si>
  <si>
    <t>se atendio personalmente al cliente de Peña de Bernal.</t>
  </si>
  <si>
    <t>SQ2100548</t>
  </si>
  <si>
    <t>atender la visita a la planta 3M, para recolectar 25 piezas del cliente en san Luis Potosi</t>
  </si>
  <si>
    <t>CQ2100470</t>
  </si>
  <si>
    <t>atender la visita y recolección de Pesas a 3M, en San Luis Potosi</t>
  </si>
  <si>
    <t>se viajo a las 7:30 am a san luis y se llego a las 10:30 por problemas de trafico y se recolectaron los eqiupos en planta regresando sin problema alguno a CIDESI</t>
  </si>
  <si>
    <t>se concluyo con exito la visita a 3M</t>
  </si>
  <si>
    <t>Se atendio Personalmente a Jesus Valtierra</t>
  </si>
  <si>
    <t>SQ2100565</t>
  </si>
  <si>
    <t>aender la visita para entregar equipos a la empresa 3M purification de San Luis Potosí</t>
  </si>
  <si>
    <t>CQ2100496</t>
  </si>
  <si>
    <t>ATENDER ENTREGA DE EQUIPOS A 3M PURIFICATION EN SAN LUIS POTOSI</t>
  </si>
  <si>
    <t>SE VIAJO A SAN LUIS POTOSI, ADEMAS DE ENTREGA 33 PESAS PARALELEPIPEDAS EN SUS INSTALACIONES, Y REGRESO A QUERETARO</t>
  </si>
  <si>
    <t>SE CONCLUYE , EL OBJETIVO DE LA COMISIÓN</t>
  </si>
  <si>
    <t>SE ATENDÍO EL CLIENTE DE FORMA PERSONAL</t>
  </si>
  <si>
    <t>SQ2100581</t>
  </si>
  <si>
    <t>atender cliente de PLASTICS TECHNOLOGY DE MEXICO,  en el estado de guanajuato</t>
  </si>
  <si>
    <t>CQ2100505</t>
  </si>
  <si>
    <t>Atender al cliente de Plastics technology de Mexico, para calibracion de balanzas de laboratorio y determinadora de densidad</t>
  </si>
  <si>
    <t>se viajo al estado de guanajuato a plastic technology y se calibraron equipos ademas de regresar a Queretaro.</t>
  </si>
  <si>
    <t>Se menciona que se concluye el trabajo sin contratiempos y se realiza labor de venta para recuperar calibraciones de pesas paralelepipedas</t>
  </si>
  <si>
    <t>se atendio en tiempo y forma y de manera personal</t>
  </si>
  <si>
    <t>SQ2100586</t>
  </si>
  <si>
    <t>ATENDER LA RECOLECCION DE PROFECO DGVDC Y COMBUSTIBLES EN LA CDMX</t>
  </si>
  <si>
    <t>CQ2100524</t>
  </si>
  <si>
    <t>atender el cliente de profeco, combustibles, innovacion y dgvdc</t>
  </si>
  <si>
    <t>se viajo a CDMX, para llegar a calle 10, despues se recolectaron equipos y se regreso a Queretaro con todo</t>
  </si>
  <si>
    <t>se cumplio el objetivo de recolectar equipos de las direcciones antes mencionadas</t>
  </si>
  <si>
    <t>se atendio pronta y personalmente</t>
  </si>
  <si>
    <t>SQ2100621</t>
  </si>
  <si>
    <t>La presente comisión ampara la compra de boletos de transporte maritimo (Ferrie), por concepto de transporte de camioneta RAM 4000, con ruta Mazatlán a La Paz, con equipo de profeco de la ruta de la Paz.</t>
  </si>
  <si>
    <t>CQ2100554</t>
  </si>
  <si>
    <t>000636AutobúsCQ2100554</t>
  </si>
  <si>
    <t>se realizó compra anticipada del boleto de Ferrie para traslado maritimo de Mazatlán a La Paz, para poder cubir la ruta de profeco de entrega, recolección y calibración de equipos.</t>
  </si>
  <si>
    <t>seViajo de Mazatlán a La Paz.</t>
  </si>
  <si>
    <t>se cubrió el objetivo de compra y traslado de Mazatlán a La Paz.</t>
  </si>
  <si>
    <t>se cubrió el objetivo de compra y traslado de Mazatlán a La Paz. buscando cotización y con costo económico.</t>
  </si>
  <si>
    <t>SQ2100665</t>
  </si>
  <si>
    <t>Esta comisión ampara al solicitante para la atención del proyecto de profeco en las ciudades de la paz y de tijuana</t>
  </si>
  <si>
    <t>TIJUANA, BC</t>
  </si>
  <si>
    <t>CQ2100675</t>
  </si>
  <si>
    <t>000636CasetasCQ2100607CQ210060</t>
  </si>
  <si>
    <t>atender la primera parte de la comisión a Profeco  Ruta 5 de la Paz</t>
  </si>
  <si>
    <t>se viajo a la ciudad de mazatlán por Durango ya que las casetas son mucho menos que por tepíc y ademas de consideran casetas de sinaloa que estan a cargo de empresas particulares. Y DESPUES se abordo el Ferry para la Paz, como la camioneta tiene problemas mecánicos se regreso a Mazatlán en Ferry y se viajo a continuacion a culiacan y Hermosillo.</t>
  </si>
  <si>
    <t>se atendío la ruta a pesar de los contratiempos de los vehiculos</t>
  </si>
  <si>
    <t>se atendío personalemente y se realizó los resguardos de cada delegación</t>
  </si>
  <si>
    <t>000636Hospedaje NacionalCQ2100</t>
  </si>
  <si>
    <t>000636CasetasCQ2100607CQ210067</t>
  </si>
  <si>
    <t>SQ2100617</t>
  </si>
  <si>
    <t>Esta comisión ampara al solicitante para atender las delegaciones de profeco Hermosillo y Culiacán con regreso a Querétaro.</t>
  </si>
  <si>
    <t>HERMOSILLO</t>
  </si>
  <si>
    <t>CQ2100634</t>
  </si>
  <si>
    <t>atender la segunda semana de la ruta de tijuana, hermosillo y culiacán de profeco</t>
  </si>
  <si>
    <t>se viajo de culiacan a hermosillo y luego a tijuana pasando por las aduanas y registrando los bienes para paso libre</t>
  </si>
  <si>
    <t>se concluyo la ruta sin problema</t>
  </si>
  <si>
    <t>se atendío de forma personalizada a cada delegación</t>
  </si>
  <si>
    <t>000636CasetasCQ2100634</t>
  </si>
  <si>
    <t>SQ2100775</t>
  </si>
  <si>
    <t>esta comisón ampara al solcitante para atender el servicio de injection alloys de Guanajuato</t>
  </si>
  <si>
    <t>CQ2100691</t>
  </si>
  <si>
    <t>atender cliente de injection alloys de irapuato para calibracion de bascula de 5 toneladas</t>
  </si>
  <si>
    <t>Se viaja de Queretaro a Irapuato para la claibracion de Injection Aloys y se cumplio  lo planeado</t>
  </si>
  <si>
    <t>se cumplio en tiempo y forma el servicio</t>
  </si>
  <si>
    <t>se ajusto y se reviso personalmente el equipo y el cliente queda satisfecho</t>
  </si>
  <si>
    <t>SQ2100796</t>
  </si>
  <si>
    <t>Entrega y recolecta de equipo patron, en las delegaciones de PROFECO (Veracruz, Villahermosa, Campeche, Merida). Asi mismo se lleva acabo la calibración de basculas de cada delegación. Nota: La comisión amapara las 24 horas del día</t>
  </si>
  <si>
    <t>MERIDA</t>
  </si>
  <si>
    <t>CQ2100713</t>
  </si>
  <si>
    <t>atender la ruta de profeco de veracruz, tabasco, campeche y merida para las delegaciones u ODECOS</t>
  </si>
  <si>
    <t>se viajo desde Queretaro a Merida para atender 4 delegaciones de profeco y se regresa a Querétaro</t>
  </si>
  <si>
    <t>se concluye el servicio sin problemas</t>
  </si>
  <si>
    <t>atención personalizada de odecos de ruta veracruz</t>
  </si>
  <si>
    <t>000636CasetasCQ2100713CQ210071</t>
  </si>
  <si>
    <t>000636Combustibles y lubricant</t>
  </si>
  <si>
    <t>SQ2100954</t>
  </si>
  <si>
    <t>atender la entrega y recolección de profeco combustibles</t>
  </si>
  <si>
    <t>CQ2100857</t>
  </si>
  <si>
    <t>atender entrega y recolección de profeco combustibles</t>
  </si>
  <si>
    <t>se viajo a Mexico para entrega y recolección de profeco ademas se regresó por toluca ya que hay bloqueos en autopista México-Queretaro.</t>
  </si>
  <si>
    <t>se viajo a mexico y se cumplió el objetivo de la comisión</t>
  </si>
  <si>
    <t>se atendió personalmente y las observaciones del clienteq</t>
  </si>
  <si>
    <t>SQ2100986</t>
  </si>
  <si>
    <t>atender la ruta del reynosa por parte de profeco 2021</t>
  </si>
  <si>
    <t>REYNOSA</t>
  </si>
  <si>
    <t>CQ2100922</t>
  </si>
  <si>
    <t>atender la ruta de reynosa y tampico de Profeco</t>
  </si>
  <si>
    <t>se viajo a tamaulipas el domingo para atender tampico el lunes y se regresa desde el miercoles a jueves a Querétaro.</t>
  </si>
  <si>
    <t>se cumplio en tiempo y forma la entrega y recolección</t>
  </si>
  <si>
    <t>se atendió personalmente cada delegación y se dío platica a la gente de reynosa</t>
  </si>
  <si>
    <t>Estacionamiento</t>
  </si>
  <si>
    <t>000636EstacionamientoCQ2100922</t>
  </si>
  <si>
    <t>TELESFORO</t>
  </si>
  <si>
    <t>MALDONADO</t>
  </si>
  <si>
    <t>SQ2100585</t>
  </si>
  <si>
    <t>Inspección en la empresa PROCTER &amp; GAMBLE Planta Mariscala</t>
  </si>
  <si>
    <t>CQ2100517</t>
  </si>
  <si>
    <t>000656Alimentos NacionalesCQ21</t>
  </si>
  <si>
    <t>Inspección en la empresa PROCTER &amp; GAMBLE MANUFACTURA, PLANTA MARISCALA</t>
  </si>
  <si>
    <t>Inspección de un tanque contenedor 1001 por medio de rugosidad, medición de espesores y líquidos penetrantes en la empresa PROCTER &amp; GAMBLE MANUFACTURA, PLANTA MARISCALA</t>
  </si>
  <si>
    <t>Se realizaron las pruebas como parte del mantenimiento interno de la empresa PROCTER &amp; GAMBLE MANUFACTURA</t>
  </si>
  <si>
    <t>Se contribuyó con la facturación del proyecto 000QS0592 INSPECCIÓN NO DESTRUCTIVA 2021</t>
  </si>
  <si>
    <t>SQ2100592</t>
  </si>
  <si>
    <t>CQ2100518</t>
  </si>
  <si>
    <t>SQ2100601</t>
  </si>
  <si>
    <t>CQ2100543</t>
  </si>
  <si>
    <t>SQ2100651</t>
  </si>
  <si>
    <t>Inspección de turbosinoducto en la empresa ASA AEROPUETOS MONTERREY</t>
  </si>
  <si>
    <t>CQ2100576</t>
  </si>
  <si>
    <t>Inspección en el AEROPUERTO ASA MONTERREY</t>
  </si>
  <si>
    <t>Inspeccion por medio de medicion de espesores, liquidos penetrantes, inspeccion visual y ondas guiadas a turbosinoducto en el aeropuerto ASA MONTERREY</t>
  </si>
  <si>
    <t>Se realizaron las pruebas como parte del mantenimiento interno del AEROPUERTO ASA MONTERREY</t>
  </si>
  <si>
    <t>Se contribuyó con la facturación del proyecto 000QS0593 INSPECCIÓN RSP NOM-20-STPS 2021</t>
  </si>
  <si>
    <t>000656Hospedaje NacionalCQ2100</t>
  </si>
  <si>
    <t>SQ2100819</t>
  </si>
  <si>
    <t>Inspección en la empresa CARTONES PONDEROSA</t>
  </si>
  <si>
    <t>CQ2100726</t>
  </si>
  <si>
    <t>Inspección en la empresa CARTONES PONDEROSA S.A. DE C.V, San Juan del Río</t>
  </si>
  <si>
    <t>Inspección por medio de medición de espesores a fluxería de una caldera Cerrey para la empresa CARTONES PONDEROSA S.A. DE C.V.</t>
  </si>
  <si>
    <t>Se realizaron las pruebas como parte del programa de mantenimiento preventivo de la empresa CARTONES PONDEROSA S.A. DE C.V</t>
  </si>
  <si>
    <t>Se contribuyó con la facturación del proyecto QS0592</t>
  </si>
  <si>
    <t>SQ2100828</t>
  </si>
  <si>
    <t>Inspección en el Aeropuerto ASA POZA RICA</t>
  </si>
  <si>
    <t>POZA RICA</t>
  </si>
  <si>
    <t>CQ2100784</t>
  </si>
  <si>
    <t>Inspección en el AEROPUERTO ASA POZA RICA</t>
  </si>
  <si>
    <t>Inspeccion por medio de medicion de espesores e inspeccion visual tubería SERV A PLANE en el aeropuerto ASA POZA RICA</t>
  </si>
  <si>
    <t>Se realizaron las pruebas como parte del mantenimiento interno del AEROPUERTO ASA POZA RICA</t>
  </si>
  <si>
    <t>SQ2100864</t>
  </si>
  <si>
    <t>Inspección de un tanque vertical TV-1 en el Aeropuerto ASA ACAPULCO</t>
  </si>
  <si>
    <t>ACAPULCO</t>
  </si>
  <si>
    <t>CQ2100850</t>
  </si>
  <si>
    <t>Inspección en el AEROPUERTO ASA ACAPULCO</t>
  </si>
  <si>
    <t>Inspeccion por medio de medicion de espesores, FLOOR MAP y Líquidos penetrantes a Tanque Vertical TV-1 en la Estación de Combustibles ASA ACAPULCO</t>
  </si>
  <si>
    <t>Se realizaron las pruebas como parte del mantenimiento interno del AEROPUERTO ASA ACAPULCO</t>
  </si>
  <si>
    <t>JORGE</t>
  </si>
  <si>
    <t>SAGRERO</t>
  </si>
  <si>
    <t>RIVERA</t>
  </si>
  <si>
    <t>SQ2100521</t>
  </si>
  <si>
    <t>Servicio de Inspeccion no destructiva en la empresa Cartones poderosa</t>
  </si>
  <si>
    <t>CQ2100462</t>
  </si>
  <si>
    <t>000657Alimentos NacionalesCQ21</t>
  </si>
  <si>
    <t>Servicio de inspeccion no destructiva en la empresa Cartones Poderosa.</t>
  </si>
  <si>
    <t>Servicio de inspeccion no destructiva en la empresa Cartones Poderosa. Inspeccion por medio de particulas magneticas fluorescentes de la tercera prensa superior. Coordinacion de actividades con responsable tecnico en planta.</t>
  </si>
  <si>
    <t>Se concluto el servicio</t>
  </si>
  <si>
    <t>Facturacion de la gerencia de caracterizacion de materiales</t>
  </si>
  <si>
    <t>SQ2100531</t>
  </si>
  <si>
    <t>Servicio de inspeccion no destructiva en la empresa Mazda</t>
  </si>
  <si>
    <t>CQ2100463</t>
  </si>
  <si>
    <t>Servicio de inspeccin no destructiva en la empresa Mazda</t>
  </si>
  <si>
    <t>Servicio de inspeccin no destructiva en la empresa Mazda. Inspeccion por medio de liquidos penetrantes y medicion de espesores de tanques de almacenamienro de aire.</t>
  </si>
  <si>
    <t>Se concluyo servicio</t>
  </si>
  <si>
    <t>SQ2100542</t>
  </si>
  <si>
    <t>CQ2100464</t>
  </si>
  <si>
    <t>Servicio de inspeccin no destructiva en la empresa Mazda. I</t>
  </si>
  <si>
    <t>Se concluyo el servicio</t>
  </si>
  <si>
    <t>Facturacion de la gerencia</t>
  </si>
  <si>
    <t>SQ2100875</t>
  </si>
  <si>
    <t>Servicio de inspeccion no destructiva en la empresa Manufactiuras Kaltex</t>
  </si>
  <si>
    <t>CQ2100772</t>
  </si>
  <si>
    <t>Servicio de inspeccion no destructiva en la empresa Manufacturas Kaltex.</t>
  </si>
  <si>
    <t>Servicio de ispeccion no destructiva en la empresa Manufacturas Kaltex</t>
  </si>
  <si>
    <t>SQ2100937</t>
  </si>
  <si>
    <t>Servicio de inspeccion no destructiva en la empresa Procter</t>
  </si>
  <si>
    <t>CQ2100846</t>
  </si>
  <si>
    <t>Servicio de inspeccion no destructiva en la empresa Procter and Gamble</t>
  </si>
  <si>
    <t>Servicio de inspeccion no destructiva en la empresa Procter and Gamble. Inspecion por medio de particulas magneticas, medicion de espesores y visual de recipientes sujetos a presion y tuberias.</t>
  </si>
  <si>
    <t>GERENTA / GERENTE DE METROLOGÍA MECÁNICA</t>
  </si>
  <si>
    <t>FRANCISCO JAVIER</t>
  </si>
  <si>
    <t>QUIÑONES</t>
  </si>
  <si>
    <t>RIOS</t>
  </si>
  <si>
    <t>SQ2100555</t>
  </si>
  <si>
    <t>Entrega por parte del contratista las instalaciones del  laboratorio In-house GM Planta Silao, (Remodelación). Reunión con Francisco Saveedra Gerente de producción nuevo proyecto de motores GM Entrega y recepción de equipo Balanza hidraulica de la Planta Ensamble de GM.</t>
  </si>
  <si>
    <t>CQ2100509</t>
  </si>
  <si>
    <t>000658Alimentos NacionalesCQ21</t>
  </si>
  <si>
    <t xml:space="preserve">Entrega por parte del contratista las instalaciones del  laboratorio In-house GM Planta Silao, (Remodelación). Reunión con Francisco Saveedra Gerente de producción nuevo proyecto de motores GM,  se lleva a cabo la negociacion para la limpieza de laboratorio y necesidades de aire comprimido. Entrega y recepción de equipo Balanza hidraulica de la Planta Ensamble de GM. </t>
  </si>
  <si>
    <t xml:space="preserve">Entrega de equipo balanza hidraulica Reunion con exito con el Gerente de proyecto motores  </t>
  </si>
  <si>
    <t>Se llegan a buenos terminos de negociacion para concursar proximamente con la licitación en la planta motores.</t>
  </si>
  <si>
    <t>Negociación con planta motores.</t>
  </si>
  <si>
    <t>SQ2100678</t>
  </si>
  <si>
    <t>Recolección y entrega de equipo de nuestro cliente General Motors, Reunión con personal de GRX seguimiento a las acciones a seguir para mejorar el servicio. Reunion con Gerente de producción Francisco Saveedra para dar continuidad al proyecto Nuevo de Motores para participar en la licitación.</t>
  </si>
  <si>
    <t>CQ2100586</t>
  </si>
  <si>
    <t>ecolección y entrega de equipo de nuestro cliente General Motors, Reunión con personal de GRX seguimiento a las acciones a seguir para mejorar el servicio. Reunion con Gerente de producción Francisco Saveedra para dar continuidad al proyecto Nuevo de Motores para participar en la licitación.</t>
  </si>
  <si>
    <t>Reunion para el testimonio Reunion para la entrevista con al Direccion de Estrategia Entrega de equipo y recoleccion de equipo Seguimiento a licitacion que se lanzara proximamente para el proyecto Nuevo.</t>
  </si>
  <si>
    <t>Se entrega equipo y se realiza la recoleccion de equipo para entregar al cliente. Se platica con Alejandro Vargas para revisasr el tema de calibracion de equipo motores y se solicita testimonio para la Dirección de estrategia.</t>
  </si>
  <si>
    <t>Se consigue testimonio, se recolecta y entrega equipo. Se revisa el tema de licitacion con GM</t>
  </si>
  <si>
    <t>SQ2100790</t>
  </si>
  <si>
    <t>Seguimiento a proyecto Motores, revisión de requerimientos de nuestro cliente de GRX Transmisiones Traslado de equipo Torquimetros para la magnitud de fuerza para su calibración y regreso de la unidad vehicular Saveiro.</t>
  </si>
  <si>
    <t>CQ2100706</t>
  </si>
  <si>
    <t xml:space="preserve">Entrega de torquimetros en la magnitud de Fuerza, Luis Alfredo Robles. Revision Sistema de visión, se revisa el Zoom con personal de la DIIE. Revision con contacto GM para licitación de proyecto nuevo GM Entrega de la Unidad Saveiro </t>
  </si>
  <si>
    <t>Viaje a Gto-Qro para entregar Torquimetros y entrega de la unidad Saveiro. Revisión y seguimiento proyecto General Motors, Motores y revisión con Alfredo Carmona y Chrsitian Contreras el funcionamiento del sistema de visión.</t>
  </si>
  <si>
    <t xml:space="preserve">Se revisa el Sistema de vision, Revisión de tiempos para la licitación General Motors. </t>
  </si>
  <si>
    <t>SQ2101005</t>
  </si>
  <si>
    <t>Revisión de movilidad de aire comprimido en laboratorio In-house y revision de alcance para mover el banco de Par torsiona y masas suspendidas para atender nuevo proyecto. Entrega y cambio de unidad vehicular, traslado de equipo para su calibracón y medición. Reunion con persona de General motors.</t>
  </si>
  <si>
    <t>CQ2100915</t>
  </si>
  <si>
    <t>Revisar la re-ubicacion del compresor que alimenta a la maquina de coordenadas y maquina de forma, entrega de equipo y atencion al Ing, de manufactura de engranes para atender un problema de calidad. Traslado de equipo propiedad de nuestro cliente GM</t>
  </si>
  <si>
    <t>Elaboración del documento RSP metodología 5 por que para atender lo de calidad y s define los tiempos para la re-ubicación de compresor, entrega de equipo para la calibración.</t>
  </si>
  <si>
    <t>Se concreta la re-ubicación del compresor, se entrega equipo a las magnitudes de metrología y se realiza el RSP utilizando la metodología de los 5 por que para atender el problema de calidad.</t>
  </si>
  <si>
    <t>Se cierra el RSP de calidad, re-ubiación compresor y la movilidad de equipo de nuestro cliente en las diferentes magnitudes.</t>
  </si>
  <si>
    <t>LEONARDO</t>
  </si>
  <si>
    <t>BARRIGA</t>
  </si>
  <si>
    <t>RODRIGUEZ</t>
  </si>
  <si>
    <t>SQ2100634</t>
  </si>
  <si>
    <t>TRASLADAO AL ALMACÉN GENRAL DEL ISSSTE EN LA CD. DE MÉXICO PARA APOYO ENSAMBLE VENTILADORES.</t>
  </si>
  <si>
    <t>CQ2100571</t>
  </si>
  <si>
    <t>000662Alimentos NacionalesCQ21</t>
  </si>
  <si>
    <t>Asistir a bodega del ISSSTE en CDMX para poner a punto 50 ventiladores que serán enviados a Cuba</t>
  </si>
  <si>
    <t>Actualización de software y firmware en cada ventilador, revision general de funcionamiento y calibración de flujo</t>
  </si>
  <si>
    <t>Se termino de poner a punto 50 ventiladores, en tiempo y forma,</t>
  </si>
  <si>
    <t>Estas actividades permitieron contar con los equipos que se comprometio Cidesi a tener disponibles para ser enviados a Cuba.</t>
  </si>
  <si>
    <t>GERENTA / GERENTE DE ROBÓTICA E INSTRUMENTACIÓN</t>
  </si>
  <si>
    <t>TOMAS</t>
  </si>
  <si>
    <t>SALGADO</t>
  </si>
  <si>
    <t>JIMENEZ</t>
  </si>
  <si>
    <t>SQ2100736</t>
  </si>
  <si>
    <t>Realizar Pruebas y experimentos en mar del glider prototipo en Ensenada, BC. Estas pruebas en mar son necesarias para liberar entregable y cerrar el entregable.</t>
  </si>
  <si>
    <t>ENSENADA, BC</t>
  </si>
  <si>
    <t>CQ2100681</t>
  </si>
  <si>
    <t>000676Hospedaje NacionalCQ2100</t>
  </si>
  <si>
    <t>Realizar pruebas en mar del glider prototipo en la bahía de ensenada con apoyo del CICESE en Ensenada.</t>
  </si>
  <si>
    <t xml:space="preserve">1.	Preparación de pruebas. 2.	Puesto a punto del robot 3.	Programación de misión 4.	Pruebas en mar los días: miércoles 18 y jueves 19 de agosto 2021 </t>
  </si>
  <si>
    <t>Se realizaron exitosamente pruebas en mar del glider prototipo, los días miércoles 18 y jueves 19 de agosto 2021, estas pruebas eran un compromiso y entregable del proyecto.</t>
  </si>
  <si>
    <t>000676Alimentos NacionalesCQ21</t>
  </si>
  <si>
    <t>000676Transporte local (taxi,C</t>
  </si>
  <si>
    <t>BAQ210042</t>
  </si>
  <si>
    <t>Pruebas y experimentos en mar del glider prototipo en Ensenada, BC. Estas pruebas en mar son necesarias para cerrar el entregable.  Nota: el Precio de $ 7,356.0 incluye 2 boletos de avión: -Vuelo Salida: Cd de México a Tijuana el 15 de agosto 2021 -Vuelo Regreso: Tijuana a Cd de México el 20 de</t>
  </si>
  <si>
    <t>CAQ210027</t>
  </si>
  <si>
    <t>000676Boletos de Avión Naciona</t>
  </si>
  <si>
    <t>Realización de pruebas en ambiente relevante (pruebas en mar) del desarrollo tecnológico denominado glider prototipo CIDESI con apoyo del CICESE, lider del Consorcio CIGOM.</t>
  </si>
  <si>
    <t>- Preparación de modo vuelo y comunicación satelital en laboratorio de CICESE - Preparación de equipo para embarcación proporcionada por CICESE - Instalación y prueba de sistema de seguimiento USBL al glider prototipo - Realización de pruebas de calibraci</t>
  </si>
  <si>
    <t>Pruebas exitosas de funcionamiento de glider prototipo CIDESI en ambiente relevante. Recopilación de información de fallas y mejoras al sistema como proceso natural de la maduración tecnológica.</t>
  </si>
  <si>
    <t>Liberación de pruebas comprometidas del entregable de CIDESI ante el Consorcio CIGOM. Reunión con CICESE para gestionar recursos para continuar con la maduración tecnológica del desarrollo tecnológico</t>
  </si>
  <si>
    <t>TÉCNICA/TÉCNICO DE SERVICIO</t>
  </si>
  <si>
    <t>JULIO CESAR</t>
  </si>
  <si>
    <t>YAÑEZ</t>
  </si>
  <si>
    <t>ORTIZ</t>
  </si>
  <si>
    <t>SQ2100589</t>
  </si>
  <si>
    <t>Recolecta de equipo de medicion a profeco verificacion y profeco combustibles a  la ciudad de mexico esta comision ampara las 24 horas del dia solicitado</t>
  </si>
  <si>
    <t>CQ2100523</t>
  </si>
  <si>
    <t>000685Alimentos NacionalesCQ21</t>
  </si>
  <si>
    <t>Recolecta de equipo a ciudad de mexico profeco verificacion</t>
  </si>
  <si>
    <t>Recolecta de equipo a ciudad de mexico profeco verificacion  y profeco combustibles medidas volumetricas, basculas,flujometros y masico</t>
  </si>
  <si>
    <t>Se logro el objetivo proyectado</t>
  </si>
  <si>
    <t>esrto beficiara a lograr meta facturacion</t>
  </si>
  <si>
    <t>SQ2100618</t>
  </si>
  <si>
    <t>Entrega, recolecta y calibracion en sitio a las delegaciones Profeco DGVV de las ciuades de la paz baja california y tijuana esta comision ampára las 24 haras de los dias solicitados</t>
  </si>
  <si>
    <t>CQ2100719</t>
  </si>
  <si>
    <t>000685Hospedaje NacionalCQ2100</t>
  </si>
  <si>
    <t>Entrega recolecta y calibracion en sitio delegaciones de profeco  verificacion la paz ,culiacan y hermosillo</t>
  </si>
  <si>
    <t>Entrega recolecta y calibracion en sitio de basculas y equipo medicion  delegaciones de profeco verificacion  la paz ,culiacan y hermosillo</t>
  </si>
  <si>
    <t>se logro el objetivo proyectado</t>
  </si>
  <si>
    <t>esto beneficiara a lograr la meta de facturacion</t>
  </si>
  <si>
    <t>SQ2100664</t>
  </si>
  <si>
    <t>Enrtrega y  recolecta de instrumentos de calibración, asi mismo se llevará acabo calibración de basculas en diferentes delegaciones de PROFECO (Culiacán, Hermosillo, Tijuana) Nota: La comisión ampara las 24 horas.</t>
  </si>
  <si>
    <t>CQ2100629</t>
  </si>
  <si>
    <t>Entrega recolecta y calibracion en sitio delegaciones de profeco Hermosillo y Tijuana</t>
  </si>
  <si>
    <t>Entrega recolecta y calibracion en sitio delegaciones de profeco verificacion  Hermosillo y Tijuana</t>
  </si>
  <si>
    <t>Se logro el obejetivo proyectado</t>
  </si>
  <si>
    <t>Esto contribuira a lograr la meta facturacion</t>
  </si>
  <si>
    <t>SQ2100762</t>
  </si>
  <si>
    <t>Servicio de calibracion de 22 balanzas cliente Profeco laboratorio calle Alemania ciudad de mexico esta comision ampara las 24 horas de los dias solicitados</t>
  </si>
  <si>
    <t>CQ2100678</t>
  </si>
  <si>
    <t>Calibracion de 18 Balanzas de cliente profeco labotario ciudad de mexico</t>
  </si>
  <si>
    <t>Calibracion de 18 Balanzas mecanicas y electronicas  de cliente profeco labotario ciudad de mexico</t>
  </si>
  <si>
    <t>Esto beficiara a lograr la meta de facturacion</t>
  </si>
  <si>
    <t>SQ2100795</t>
  </si>
  <si>
    <t>Calibracion de 5 balanzas de profeco laboratorio calle 10 ciduad de mexico esta comision ampara las 24 horas de los dias solicitados</t>
  </si>
  <si>
    <t>CQ2100718</t>
  </si>
  <si>
    <t>Calibracion de 5 balanzas profeco laboratorio calle 10 toltecas ciudad de mexico</t>
  </si>
  <si>
    <t>SQ2100806</t>
  </si>
  <si>
    <t>Entrega de medidas volumetricas de 20 litros a profeco combustibles y Recolecta de medidas volumetricas, recolecta de basculas  y reclecta de masicos esta comision ampara las 24 horas de los dias solicitados</t>
  </si>
  <si>
    <t>CQ2100729</t>
  </si>
  <si>
    <t>Entrega de medidas volumetricas y recolecta de basculas de 150 kg,  Termometros medidas de disel y meidas de gasolina de 20 litros y Masicos Profeco combustibles y profeco gas ciudad de Mexico</t>
  </si>
  <si>
    <t>esto benficiara a lograr la meta de facturacion</t>
  </si>
  <si>
    <t>SQ2100861</t>
  </si>
  <si>
    <t>Servicio de calibracion en sitio entrega y recolecta delegaciones de Profeco Cancun Quintanarro, Tuxta gutierres y Oaxaca esta comision ampara las 24 horas del los dias solicitados</t>
  </si>
  <si>
    <t>CQ2100840</t>
  </si>
  <si>
    <t>Entrega y recolecta calibracion en sitio delegaciones de profeco cancun quintana rro, tuxtla y oaxaca</t>
  </si>
  <si>
    <t>Entrega y recolecta calibracion en sitio delegaciones de profeco cancun quintana rro, tuxtla y oaxaca eqwuipos de medicion</t>
  </si>
  <si>
    <t>000685CasetasCQ2100840</t>
  </si>
  <si>
    <t>SQ2100982</t>
  </si>
  <si>
    <t>Serivicio de calibracion en sitio entrega y recolecta dlegaciones de tampico y reynosa tamahuiplas profeco verificacion esta comision ampara las 24 horas del dia solicitado</t>
  </si>
  <si>
    <t>CQ2100924</t>
  </si>
  <si>
    <t>Entrega,Recolecta Calibracion en sitio delegaciones de Profeco Verificacion  de Tampico tamauliplas y delegacion de Reynosa tamauliplas</t>
  </si>
  <si>
    <t>Entrega,Recolecta Calibracion en sitio delegaciones de Profeco Verificacion  de Tampico tamauliplas y delegacion de Reynosa tamauliplas se realizo la calibracion de 8 Basculas Electronicas se les dio breve platica al personal nuevo de departamento de verificacion profeco de ambas delegaciones</t>
  </si>
  <si>
    <t>Esto beneficicara a lograr la meta de facturacion</t>
  </si>
  <si>
    <t>ANDRES ANTONIO</t>
  </si>
  <si>
    <t>BAEZ</t>
  </si>
  <si>
    <t>CERVANTES</t>
  </si>
  <si>
    <t>SQ2100769</t>
  </si>
  <si>
    <t>Servicio de calibración en las Magnitudes de AE, Dimensional y Fuerza.</t>
  </si>
  <si>
    <t>CQ2100680</t>
  </si>
  <si>
    <t>000688Alimentos NacionalesCQ21</t>
  </si>
  <si>
    <t>Servicio de calibración en las magnitudes Analizadores Especificos, Dimensional, Fuerza y Frecuencia en las instalaciones del verificentro GTO-005, En Guanajuato, GTO.</t>
  </si>
  <si>
    <t>Servicio Concluido</t>
  </si>
  <si>
    <t>Apoyo al verificentro en la ejecucuíon de su programa de calibración de sus equipos de trabajo.</t>
  </si>
  <si>
    <t>SQ2100781</t>
  </si>
  <si>
    <t>Servicio de calibración en la magnitud de Fuerza y Dimensional en el verificentro Cermeg ubicado en Ixtapaluca Edo. de México</t>
  </si>
  <si>
    <t>CQ2100696</t>
  </si>
  <si>
    <t>Servicio concluido</t>
  </si>
  <si>
    <t>Apoyo a Cermeg en la ejecucuón de su programa de calibración</t>
  </si>
  <si>
    <t>SQ2100797</t>
  </si>
  <si>
    <t>Servicio de calibración en la magnitud de Dimensional y Frecuencia en el verificentro ACA-002 en Acambaro Gto.</t>
  </si>
  <si>
    <t>CQ2100701</t>
  </si>
  <si>
    <t>Apoyo a l verifcientro para cumplir con su programa de calibración de los instrumentos que utiliza para trabajar</t>
  </si>
  <si>
    <t>SQ2100833</t>
  </si>
  <si>
    <t>SERVICIO DE CALIBRACIÓN EN EL VERIFCIENTRO DE LAS INSTALACIONES DE JARRIS EN TEPOTZOTLAN EDO. DE MEXICO. RECOGER UNA ESTACIÓN METEREOLOGICA EN EL VERIFICENTRO AO28 EN AV. TOLUCA</t>
  </si>
  <si>
    <t>CQ2100802</t>
  </si>
  <si>
    <t>SERVICIO DE CALIBRACIÓN EN EL VERIFCIENTRO DE LAS INSTALACIONES DE JARRIS EN TEPOTZOTLAN EDO. DE MEXICO.</t>
  </si>
  <si>
    <t>SERVICIO DE CALIBRACIÓN EN EL VERIFCIENTRO DE LAS INSTALACIONES DE JARRIS EN TEPOTZOTLAN EDO. DE MEXICO. EN LAS MAGNITUDES DE ANALIZADORES ESPECIFICOS, DIMENSIONAL Y FUERZA</t>
  </si>
  <si>
    <t>SERVICIO CONCLUIDO</t>
  </si>
  <si>
    <t>APOYO EN EL VERIFICENTRO EN LA CALIBRACIÓN DE SUS EQUIPOS</t>
  </si>
  <si>
    <t>SQ2100927</t>
  </si>
  <si>
    <t>Servicio de calibración en 2 verificentros en Dr. Mora Gto y Qroen la magnitud de temperatura</t>
  </si>
  <si>
    <t>CQ2100852</t>
  </si>
  <si>
    <t>Servicio de calibración en 2 verificentros en Dr. Mora Gto y Qro. en la magnitud de temperatura</t>
  </si>
  <si>
    <t>Servicio de calibración de 2 termometros de lectura directa en 2 verificentros en Dr. Mora Gto y Qro. en la magnitud de temperatura</t>
  </si>
  <si>
    <t>Servicios concluidos</t>
  </si>
  <si>
    <t>Apoyos a los verifcientros en la calibración de sus equipos que utilizan a trabajar</t>
  </si>
  <si>
    <t>GERENTA / GERENTE DE SISTEMAS EMBEBIDOS</t>
  </si>
  <si>
    <t>GERENCIA DE SISTEMAS EMBEBIDOS</t>
  </si>
  <si>
    <t>HIRAM ABIF</t>
  </si>
  <si>
    <t>SQ2100765</t>
  </si>
  <si>
    <t>Revisión de oportunidades de proyectos con directivos del STC Metro en la CDMX.</t>
  </si>
  <si>
    <t>CQ2100761</t>
  </si>
  <si>
    <t>000694Alimentos NacionalesCQ21</t>
  </si>
  <si>
    <t>Levantamiento de requerimientos para dos nuevas oportunidades de proyectos con el STC</t>
  </si>
  <si>
    <t>Reunión con personal técnico de Guelatao para obtener inforrmación acerca del desarrollo de un banco de pruebas para el pilotaje fijo SACEM Reuniónn con personal técnico en el LEDA para obtener información acerca del desarrollo de ingeniería inversade tarjetas electrónicas para el STC</t>
  </si>
  <si>
    <t>Se obtiene información sobre dos propuestas para desarrollo de proyectos con el STC</t>
  </si>
  <si>
    <t>Se atiende temas de comercialización con el STC</t>
  </si>
  <si>
    <t>GERARDO RAMSES</t>
  </si>
  <si>
    <t>REYES</t>
  </si>
  <si>
    <t>FUENTES</t>
  </si>
  <si>
    <t>SQ2100536</t>
  </si>
  <si>
    <t>Inspección de recipientes a presión MAZDA</t>
  </si>
  <si>
    <t>CQ2100456</t>
  </si>
  <si>
    <t>000696Alimentos NacionalesCQ21</t>
  </si>
  <si>
    <t>Inspección por medio de END a 150 tanques de la empresa MAZDA ubicada en Salamanca Gto.</t>
  </si>
  <si>
    <t>El cobro del servicio contribuirá al logro de la meta.</t>
  </si>
  <si>
    <t>SQ2100537</t>
  </si>
  <si>
    <t>CQ2100516</t>
  </si>
  <si>
    <t>Inspección por END a 150 recipientes sujetos a presión en la empresa MAZDA en Salamanca Gto.</t>
  </si>
  <si>
    <t>El cobro del servicio contribuirá al logro de la meta</t>
  </si>
  <si>
    <t>SQ2100551</t>
  </si>
  <si>
    <t>Inspección de Recipientes a presión en MAZDA.</t>
  </si>
  <si>
    <t>CQ2100480</t>
  </si>
  <si>
    <t>Se inspeccionaron 150 recipientes sujetos a presión por medio de END en la empresa MAZDA en Salamanca Gto.</t>
  </si>
  <si>
    <t>SQ2100684</t>
  </si>
  <si>
    <t>Inspección visual de turbosinoducto de ASA Guadalajara</t>
  </si>
  <si>
    <t>CQ2100604</t>
  </si>
  <si>
    <t>000696Hospedaje NacionalCQ2100</t>
  </si>
  <si>
    <t>Inspección visual por medio de boroscopio a interior de tubería de turbosinoducto en la estación de combustibles de ASA Guadalajara en Aeropuerto.</t>
  </si>
  <si>
    <t>SQ2100827</t>
  </si>
  <si>
    <t>Inspección visual y medición de espesores en línea de tubería ASA Poza Rica.</t>
  </si>
  <si>
    <t>CQ2100756</t>
  </si>
  <si>
    <t>Inspección visual de tubería de Gasavión servaplane y medición de espesores de tubería de servaplane, tubería de gasavión, tanque TH3 y filtro gasavión de la terminal de ASA Poza Rica Ver.</t>
  </si>
  <si>
    <t>Inspección visual de tubería de Gasavión servaplane y medición de espesores de tubería de servaplane, tubería de gasavión, tanque TH3 y filtro gasavión de la terminal de ASA Poza Rica Ver. Se encontro corrosión en varios elementos de la tubería y TH3.</t>
  </si>
  <si>
    <t>SQ2100865</t>
  </si>
  <si>
    <t>Inspección de TV en ASA Aeropuerto de Acapulco dañado por sismo.</t>
  </si>
  <si>
    <t>CQ2100818</t>
  </si>
  <si>
    <t>Inspección de tanque TV-1 de ASA acapulco para determinar daño por sismo.</t>
  </si>
  <si>
    <t>Se inspeccionó por medio de medición de espesores ultrasónico a todo el tanque TV-1, Inspección con líquidos penetrantes a la soldadura en zona con fuga y floor map a todo el fondo.</t>
  </si>
  <si>
    <t>El cobro contribuirá al logro de la meta.</t>
  </si>
  <si>
    <t>SQ2100952</t>
  </si>
  <si>
    <t>Inspección no destructiva a recipientes sujetos a presión en la empresa Kaltex en Tepeji del rio.</t>
  </si>
  <si>
    <t>TEPEJI DEL RIO</t>
  </si>
  <si>
    <t>CQ2100891</t>
  </si>
  <si>
    <t>Se inspeccionaron 16 recipientes sujetos a presión por  ensayos no destructivos en la empresa Kaltex en Tepeji del rio.</t>
  </si>
  <si>
    <t>SQ2100960</t>
  </si>
  <si>
    <t>CQ2100892</t>
  </si>
  <si>
    <t>Se inspeccionaron 10 recipientes sujetos a presión por  ensayos no destructivos en la empresa Kaltex en Tepeji del rio.</t>
  </si>
  <si>
    <t>El cobro del servicio contribuirá a la meta anual</t>
  </si>
  <si>
    <t>SQ2100978</t>
  </si>
  <si>
    <t>Inspección por END a recipientes sujetos a presión en la empresa Kaltex en Tepeji del Rio.</t>
  </si>
  <si>
    <t>CQ2100893</t>
  </si>
  <si>
    <t>Inspección por END a 10 recipientes sujetos a presión en la empresa Kaltex en Tepeji del Rio.</t>
  </si>
  <si>
    <t>Contribuira al logro de la meta</t>
  </si>
  <si>
    <t>SQ2101003</t>
  </si>
  <si>
    <t>CQ2100896</t>
  </si>
  <si>
    <t>Inspección por END a recipientes sujetos a 11 presión en la empresa Kaltex en Tepeji del Rio.</t>
  </si>
  <si>
    <t>CESAR ADOLFO</t>
  </si>
  <si>
    <t>CABRERA</t>
  </si>
  <si>
    <t>JAIME</t>
  </si>
  <si>
    <t>SQ2100655</t>
  </si>
  <si>
    <t>VISITA TECNICA SLP (CUMMINS)</t>
  </si>
  <si>
    <t>CQ2100561</t>
  </si>
  <si>
    <t>000700Alimentos NacionalesCQ21</t>
  </si>
  <si>
    <t>Levantamiento técnico para propuesta comercial</t>
  </si>
  <si>
    <t>LAZARO</t>
  </si>
  <si>
    <t>SQ2100731</t>
  </si>
  <si>
    <t>Visita Tecnica Levantamiento Aplicacion Dispositivo medicion de Torque</t>
  </si>
  <si>
    <t>CQ2100647</t>
  </si>
  <si>
    <t>000715Alimentos NacionalesCQ21</t>
  </si>
  <si>
    <t>Visita Para revision de Requerimiento inicial de Cliente Se desea ajuste en tension de Material Bobina Tela</t>
  </si>
  <si>
    <t>Toma de informacion tecnica</t>
  </si>
  <si>
    <t>Requerimiento inicial segun aplicacion</t>
  </si>
  <si>
    <t>Revision de equipo actual en Planta</t>
  </si>
  <si>
    <t>TOBIAS</t>
  </si>
  <si>
    <t>SQ2100553</t>
  </si>
  <si>
    <t>Visita a la empresa Pilgrims SLP para recopilacion de firmas del representante legal y tramites de una Caldera en STPS SLP, entrega de servicio</t>
  </si>
  <si>
    <t>CQ2100486</t>
  </si>
  <si>
    <t>000726Alimentos NacionalesCQ21</t>
  </si>
  <si>
    <t>Satisfactorios, se realizaron las actividades programadas</t>
  </si>
  <si>
    <t>Contribución a los servicios de las gerencia de caracterizaciónde materiales</t>
  </si>
  <si>
    <t>SQ2100660</t>
  </si>
  <si>
    <t>Asesoria referente a la Norma NOM-020-TSPS-2011 en la empresa KALTEX Tepeji del Río</t>
  </si>
  <si>
    <t>CQ2100589</t>
  </si>
  <si>
    <t>Contribución a la facturacion y servicios de la gerencia de inspeccion no destructiva</t>
  </si>
  <si>
    <t>SQ2100868</t>
  </si>
  <si>
    <t>Verificación de RSPs de la empresa Kaltex San Juan del Río</t>
  </si>
  <si>
    <t>CQ2100789</t>
  </si>
  <si>
    <t>Contribución a la facturación de servicio de la gerencia de pruebas de materiales</t>
  </si>
  <si>
    <t>SQ2100915</t>
  </si>
  <si>
    <t>Verificación de RSPs en la empresa KALTEX Planta Tlauta, Tepeji del Rio</t>
  </si>
  <si>
    <t>CQ2100823</t>
  </si>
  <si>
    <t>Satisfactios. se realizo la inspecion de 16 equipos</t>
  </si>
  <si>
    <t>Contribución a la facturación de la gerencia de caracterización de materiales</t>
  </si>
  <si>
    <t>SQ2100938</t>
  </si>
  <si>
    <t>Verificacion de RSPs en la empresa KALTEX tepeji del Río</t>
  </si>
  <si>
    <t>CQ2100842</t>
  </si>
  <si>
    <t>Satisfactorios, se realizó la inspeccion de la engomadora 5</t>
  </si>
  <si>
    <t>Contribucion a la facturación de la gerencia de inspección no destructiva</t>
  </si>
  <si>
    <t>SQ2100953</t>
  </si>
  <si>
    <t>Vrificacion de RSPs en la empresa KALTEX Tepeji del Rio</t>
  </si>
  <si>
    <t>CQ2100859</t>
  </si>
  <si>
    <t>Contribución a la facturación de la gefrencia de caracterizacion de materiales</t>
  </si>
  <si>
    <t>SQ2100966</t>
  </si>
  <si>
    <t>Verificación de RSPs en la empresa HEINEKEN Orizaba</t>
  </si>
  <si>
    <t>CQ2100879</t>
  </si>
  <si>
    <t>Verificación e inspección de RSPs en la empresa HEINEKEN Orizaba</t>
  </si>
  <si>
    <t>Satisfactorios, se realizó la inspección y verificación de un RSP en la empresa CCM Orizaba</t>
  </si>
  <si>
    <t>Contribución a la gerencia de caracterización de materiales, a su cartera de clientes</t>
  </si>
  <si>
    <t>000726Hospedaje NacionalCQ2100</t>
  </si>
  <si>
    <t>JESUS</t>
  </si>
  <si>
    <t>GUDIÑO</t>
  </si>
  <si>
    <t>SQ2100679</t>
  </si>
  <si>
    <t>TRASLADO A CONACYT EN LA CD. DE MÉXICO PARA ENTREGA DE VENTILADOR PARA EVENTO CON LA DELEGACIÓN DE GUATEMALA.</t>
  </si>
  <si>
    <t>CQ2100614</t>
  </si>
  <si>
    <t>000728Alimentos NacionalesCQ21</t>
  </si>
  <si>
    <t>TRASLADO DE VENTILADOR EH4T A CONACYT</t>
  </si>
  <si>
    <t>SE TRASLADO VENTILADOR EH4T PARA PRESENTACION A EMBAJADA DE GUATEMALA</t>
  </si>
  <si>
    <t>DE ACUERDO CON LO REALIZADO</t>
  </si>
  <si>
    <t>SQ2100839</t>
  </si>
  <si>
    <t>Alimentos Internacionales</t>
  </si>
  <si>
    <t>CQ2100790</t>
  </si>
  <si>
    <t>000728Alimentos Internacionale</t>
  </si>
  <si>
    <t xml:space="preserve">ENTREGA DE KITS PACIENTE A HOSPITAL </t>
  </si>
  <si>
    <t>EL CLIENTE QUEDO DE ACUERDO CON LO REALIZADO</t>
  </si>
  <si>
    <t>SE ENTREGO KITS SIN CONTRATIEMPOS</t>
  </si>
  <si>
    <t>SQ2100889</t>
  </si>
  <si>
    <t>Visita al Hospital General José María Morelos y Pavón, en la Cd. de México, para traslado de material para mantenimiento de ventiladores Ehécatl 4T.</t>
  </si>
  <si>
    <t>CQ2100849</t>
  </si>
  <si>
    <t>ENTREGA DE INSUMOS PARA VENTILADORES</t>
  </si>
  <si>
    <t>ENTREGA DE MATERIALES Y SOPORTE A BRIGADAS</t>
  </si>
  <si>
    <t>MIGUEL OMAR</t>
  </si>
  <si>
    <t>SQ2100663</t>
  </si>
  <si>
    <t>Servicio de calibración de camaras de presion de alta exactitud en las instalaciones de los laboratorios de TESTO en la CDMX.</t>
  </si>
  <si>
    <t>CQ2100598</t>
  </si>
  <si>
    <t>000734Hospedaje NacionalCQ2100</t>
  </si>
  <si>
    <t>Se llevo a cabo el servicio en las instalaciones de los laboratorios de TESTO.</t>
  </si>
  <si>
    <t>Se llevo a cabo el servicio en las instalaciones de los laboratorios de TESTO. se llevo a cabo la calibracion de sensores de presion absoluta. pertenecientes a tres camaras de humedad patron.</t>
  </si>
  <si>
    <t>se llevo a cabo la calibracion de sensores de presion absoluta.</t>
  </si>
  <si>
    <t>pertenecientes a tres camaras de humedad patron.</t>
  </si>
  <si>
    <t>SQ2100763</t>
  </si>
  <si>
    <t>Servicio de calibracion de sensores de presión en las instalaciones de MAZDA</t>
  </si>
  <si>
    <t>CQ2100671</t>
  </si>
  <si>
    <t>000734Alimentos NacionalesCQ21</t>
  </si>
  <si>
    <t>Se llevo a cabo la calibracion de sensores de presion montados en los sistemas de medicion de MAZDA</t>
  </si>
  <si>
    <t>Se llevo a cabo la calibracion de sensores de presion montados en los sistemas de medicion de MAZDA. Se calibro todo en timpo y forma. Se da avance al programa de calibracoin con este cliente</t>
  </si>
  <si>
    <t>se calibro todo en timpo y forma</t>
  </si>
  <si>
    <t>se da avance al programa de calibracoin con este cliente</t>
  </si>
  <si>
    <t>SQ2100904</t>
  </si>
  <si>
    <t>Servicio de calibración de válvulas de seguridad en las instalaciones de la empresa Michelin Leon, esto con el Laboratorio movil de válvulas</t>
  </si>
  <si>
    <t>CQ2100820</t>
  </si>
  <si>
    <t>Se llevó a cabo la calibración en sitio de válvulas de seguridad en las inatalaciones del cliente Michelin Leon.</t>
  </si>
  <si>
    <t>Se llevó a cabo la calibración en sitio de válvulas de seguridad en las inatalaciones del cliente Michelin Leon. se llevo a cabo la actividad planeada sin contratiempo y acorde a lo planeado. Este año ya es el 3 año consecutivo realizando esta actividadplaneada y programada.</t>
  </si>
  <si>
    <t>se llevo a cabo la actividad planeada sin contratiempo y acorde a lo planeado.</t>
  </si>
  <si>
    <t>Este año ya es el 3 año consecutivo realizando esta actividad planeada y programada.</t>
  </si>
  <si>
    <t>MARY CARMEN</t>
  </si>
  <si>
    <t>CARRILLO</t>
  </si>
  <si>
    <t>SQ2100659</t>
  </si>
  <si>
    <t>Visita técnica</t>
  </si>
  <si>
    <t>CQ2100575</t>
  </si>
  <si>
    <t>000739Alimentos NacionalesCQ21</t>
  </si>
  <si>
    <t>Levantamiento y conocimientos de los requerimientos de cliente</t>
  </si>
  <si>
    <t>Revisión de los equipos de los que necesitan información</t>
  </si>
  <si>
    <t>Información para generar propuestas</t>
  </si>
  <si>
    <t>Conocimiento de conexión de estación</t>
  </si>
  <si>
    <t>SQ2100693</t>
  </si>
  <si>
    <t>Servicio garantía</t>
  </si>
  <si>
    <t>CQ2100617</t>
  </si>
  <si>
    <t>No se realizo comisión por falta de requisitos para ingreso a planta</t>
  </si>
  <si>
    <t>SQ2100695</t>
  </si>
  <si>
    <t>Garantía</t>
  </si>
  <si>
    <t>CQ2100618</t>
  </si>
  <si>
    <t>SQ2100730</t>
  </si>
  <si>
    <t>Servicio estación visión</t>
  </si>
  <si>
    <t>CQ2100653</t>
  </si>
  <si>
    <t>Que funcione correctamente la inspección de etiqueta de bolsa de aire, y que identifique correctamente el nuevo chuck que se instalará.  Revisar y modificar los cambios de estado de la estación de prueba de fugas, de automático a manual y de automático acambio de modelo.</t>
  </si>
  <si>
    <t>Se cambia el sistema chuck en la estación de visión para evitar la rapida oxidación de las piezas y la falta de indentificación del sistema de visión. Se realizan pruebas de funcionamiento con los 4 modelos que más se corren en la estación de visión modificando los patrones para la lectura del numero consecutivo de las piezas.   Se modifican transiciones en la estación de prueba de fugas para el cambio de automatico a modo manual, asi como de automático a cambio de modelo. Se hacen prueba de funcionamiento y también se modifica en la secuencia de cambio de modelo, de que aunque solo se necesite hacer el cambio del herramental del plato, se liberen los seguros.</t>
  </si>
  <si>
    <t>Las dos estaciones quedan funcionando correctamente</t>
  </si>
  <si>
    <t>el flujo de de la producción, así como la facilidad de manejo del personal de mantenimiento en las estaciones</t>
  </si>
  <si>
    <t>000739Hospedaje NacionalCQ2100</t>
  </si>
  <si>
    <t>SQ2101021</t>
  </si>
  <si>
    <t>Levantamiento técnico</t>
  </si>
  <si>
    <t>CQ2100931</t>
  </si>
  <si>
    <t>Levantamiento de requerimientos de cliente para propuesta de inyección de plástico.</t>
  </si>
  <si>
    <t>Reunión con cliente, y visita a planta a ver la inyectora que se desea habilitar</t>
  </si>
  <si>
    <t>Información clara de requerimientos</t>
  </si>
  <si>
    <t>ANGEL TADEO</t>
  </si>
  <si>
    <t>HERRERA</t>
  </si>
  <si>
    <t>SQ2100598</t>
  </si>
  <si>
    <t>Atender servicio de calibración de equipos propiedad de nuestro Cliente ¨ GENERAL MOTORS ¨, en las Instalaciones de CIDESI, en Qro. Los días 19 al 20 de Julio del presente año, Entrega y recolecta de equipos  en las diferente Magnitudes CIDESI en Metrología para su calibración. Contrato 6000047829.</t>
  </si>
  <si>
    <t>QUERÉTARO</t>
  </si>
  <si>
    <t>CQ2100550</t>
  </si>
  <si>
    <t>000749Alimentos NacionalesCQ21</t>
  </si>
  <si>
    <t>Se recolecta equipos en la planta de Transmsiones GRX, y se translada a CIDESI Qro, para su calibracion y medicion, se recolecta los equipos que se encontraban en los lab. para su retorno en GM.</t>
  </si>
  <si>
    <t>Se entrega en tiempo y forma los equipos para su calibracion en los diferentes laboratorios de Metrologia. Y se recolecta equipos que se encontraban de nuestro cliente de GM Silao en los mismo lab.</t>
  </si>
  <si>
    <t>Se sigue cumpliendo con el programa mensual de nuestro cliente de GM, de esta forma se sigue lo establecido en el contrato que se tiene para seguir trabajando con este proyecto.</t>
  </si>
  <si>
    <t>SQ2100799</t>
  </si>
  <si>
    <t>Atender servicio de calibración de equipos propiedad de nuestro Cliente ¨ GENERAL MOTORS ¨, en las Instalaciones de CIDESI, en Qro. Los días 30 al 31 de Agosto del presente año, Entrega y recolecta de equipos para el Lab. de ParTorsional en CIDESI  para su calibración. Contrato 6000047829.</t>
  </si>
  <si>
    <t>CQ2100742</t>
  </si>
  <si>
    <t>Atender servicio de calibración de equipos propiedad de nuestro Cliente ¨ GENERAL MOTORS ¨, en las Instalaciones de CIDESI, en Qro. Los días 30 al 31 de Agosto del presente año, Entrega y recolecta de equipos para el Lab. de Par Torsional en CIDESI  parasu calibración. Contrato 6000047829.</t>
  </si>
  <si>
    <t>Se recolecto los equipos para el envio a CIDESI Qro. y se entrego los mismos a los diferentes lab. ya que debemos cumplir con el contrato establecido con nuestro cliente de GM Silao. y se entregaron en tiempo y forma para cumplir con sus requimientos deGM.</t>
  </si>
  <si>
    <t>Se entrega en tiempo y forma para que puedan realizar el servicio el lab. y que nuestro cliente nos siga enviando mas equipos para su calibración de los diferentes lab. de Metrología en CIDESI.</t>
  </si>
  <si>
    <t>Se sigue buscando que nuestro cliente tenga la confianza y seamos de sus lab. primarios para que mande sus equipos a calibrar en cualquiera de nuestras magnitudes en las diferentes sedes de CIDESI en Metrología.</t>
  </si>
  <si>
    <t>JUAN ELIAZAR</t>
  </si>
  <si>
    <t>ARTEAGA</t>
  </si>
  <si>
    <t>SQ2100669</t>
  </si>
  <si>
    <t>inspección de rodillos en la empresa de cartones ponderosa de san juan del rio</t>
  </si>
  <si>
    <t>CQ2100577</t>
  </si>
  <si>
    <t>000753Alimentos NacionalesCQ21</t>
  </si>
  <si>
    <t>inspección en la empresa de cartones ponderosa</t>
  </si>
  <si>
    <t>inspección por medio de particulas magneticas y ultrasonido industrial a espigas de rodillos de la empresa de cartones ponderosa</t>
  </si>
  <si>
    <t>resultados satisfactorios para la empresa</t>
  </si>
  <si>
    <t>seguir contribuyendo a la facturacion del area</t>
  </si>
  <si>
    <t>SQ2100724</t>
  </si>
  <si>
    <t>inspección por medio de particulas magneticas  a cordones de soldadura de  carrotanque de la empresa utlx</t>
  </si>
  <si>
    <t>CQ2100635</t>
  </si>
  <si>
    <t>inspección a carrotanque de la empresa de utlx</t>
  </si>
  <si>
    <t>Inspección por medio de partículas magnéticas a cordón de soldadura a carro tanque de la empresa de utlx</t>
  </si>
  <si>
    <t>SQ2100842</t>
  </si>
  <si>
    <t>inspeccion en la empresa de mission hills</t>
  </si>
  <si>
    <t>CQ2100751</t>
  </si>
  <si>
    <t>inspección de tanque de agua de la empresa de mission hills</t>
  </si>
  <si>
    <t>inspección por medio de medición de espesores a tanque de agua de la empresa de mission hills</t>
  </si>
  <si>
    <t>SQ2100855</t>
  </si>
  <si>
    <t>inspección a la empresa de textiles insdustriales riza</t>
  </si>
  <si>
    <t>CQ2100768</t>
  </si>
  <si>
    <t>inspección en la empresa de textiles industriales riza</t>
  </si>
  <si>
    <t>inspección por medio de particulas magneticas, medición de espesores y prueba hidrostatica a caldera de la empresa textiles industriales riza</t>
  </si>
  <si>
    <t>SQ2100867</t>
  </si>
  <si>
    <t>inspeccion a asa combustibles de acapulco</t>
  </si>
  <si>
    <t>CQ2100841</t>
  </si>
  <si>
    <t>Inspección en la estación de asa combustibles de Acapulco</t>
  </si>
  <si>
    <t>Inspección al TV-1 de turbosina por medio de floor map, hand scan, líquidos penetrantes y ultrasonido industrial al TV-1 de turbosina de la estación de asa combustibles de Acapulco</t>
  </si>
  <si>
    <t>Resultados satisfactorios para la empresa</t>
  </si>
  <si>
    <t>Seguir contribuyendo a la facturación del área</t>
  </si>
  <si>
    <t>000753Hospedaje NacionalCQ2100</t>
  </si>
  <si>
    <t>000753CasetasCQ2100841</t>
  </si>
  <si>
    <t>BRENDA GUADALUPE</t>
  </si>
  <si>
    <t>SANCHEZ</t>
  </si>
  <si>
    <t>HUERTA</t>
  </si>
  <si>
    <t>SQ2100662</t>
  </si>
  <si>
    <t>Atender servicio de calibración en laboratorios GIMIM. Nota: La comisión ampara las 24 horas</t>
  </si>
  <si>
    <t>CQ2100590</t>
  </si>
  <si>
    <t>000755Hospedaje NacionalCQ2100</t>
  </si>
  <si>
    <t>Calibración de 6  transductores en Laboratorios GIMIM</t>
  </si>
  <si>
    <t>se calibraron  3 camaras con2 transductores cada una en laboratorios GIMIM en CDMX</t>
  </si>
  <si>
    <t>Resultados preliminares</t>
  </si>
  <si>
    <t>actividades facturables al centro</t>
  </si>
  <si>
    <t>000755Alimentos NacionalesCQ21</t>
  </si>
  <si>
    <t>SQ2100784</t>
  </si>
  <si>
    <t>Atender diferentes delegaciones de profeco (Veracruz, Villahermosa, Campeche, Merida). Entrega y recolecta de equipo patron. Nota: La comisión ampara las 24 horas del día</t>
  </si>
  <si>
    <t>CQ2100755</t>
  </si>
  <si>
    <t>Atender Odecos en (Veracruz, Villahermosa, Campeche, Merida)</t>
  </si>
  <si>
    <t>Entrega y recolecta de instrumentos de calibración en Odeco  (Veracruz, Villahermosa, Campeche, Merida), Entrega de formatos firmados por personal de cada ODECO y enviados a ofcinas centrales</t>
  </si>
  <si>
    <t>Formatos de entrega y recolección, firmadoy y enviados a oficinas centrales</t>
  </si>
  <si>
    <t>Actividades facturables al centro</t>
  </si>
  <si>
    <t>JOSE MARTIN</t>
  </si>
  <si>
    <t>BARBOSA</t>
  </si>
  <si>
    <t>SQ2100529</t>
  </si>
  <si>
    <t>ENTREGA DE EQUIPO KOBLENZ</t>
  </si>
  <si>
    <t>CQ2100545</t>
  </si>
  <si>
    <t>000918Alimentos NacionalesCQ21</t>
  </si>
  <si>
    <t>Se requiere llevar camioneta de carga 4 ton. para trasladar 2 mesas base al cliente KOBLENZ.</t>
  </si>
  <si>
    <t>Se realizo el traslado a CIDESI Edo. Mex. y se entrego proyecto a cliente KOBLENZ.</t>
  </si>
  <si>
    <t>SQ2100573</t>
  </si>
  <si>
    <t>Visita de trabajo Sede Nuevo León.</t>
  </si>
  <si>
    <t>CRUZ GONZALEZ CELSO EDUARDO</t>
  </si>
  <si>
    <t>CQ2100540</t>
  </si>
  <si>
    <t>Se requiere visitar CIDESI Sede NL para homologación de trabajos en Sedes, tambien se requiere revisión de maquinaria para planes de mantenimiento.</t>
  </si>
  <si>
    <t>Se realizan reuniones en Sede NL para Homologación y se hace levantamiento de maquinas con fallas para reparación.</t>
  </si>
  <si>
    <t>Se realiza la visita satisfactoriamente y se cumplen los objetivos buscados.</t>
  </si>
  <si>
    <t>000918Hospedaje NacionalCQ2100</t>
  </si>
  <si>
    <t>SQ2100676</t>
  </si>
  <si>
    <t>TRASLADO A CIDESI SEDE EDO. DE MÉXICO PARA CORTAR MATERIAL DEL PROYECTO FRIDA Y HACER LA ASIGNACIÓN PERTINENTE EN SEGUIMIENTO AL PLAN DE TRABAJO PLANEADO.</t>
  </si>
  <si>
    <t>CQ2100602</t>
  </si>
  <si>
    <t xml:space="preserve">Se requiere ir a CIDESI Edo. Mex. para habilitar materiales del proyecto QD0554 FRIDA para agilizar los procesos y repartir entre las Sedes el trabajo especializado en dicho proyecto. </t>
  </si>
  <si>
    <t>Se realizan los cortes pertinentes en materiales según planos detallados.</t>
  </si>
  <si>
    <t xml:space="preserve">Se obtienen y agilizan los cortes pertinentes en materiales según planos detallados. </t>
  </si>
  <si>
    <t>GERENTA / GERENTE SEDE NUEVO LEÓN</t>
  </si>
  <si>
    <t>GERENCIA DE SEDE NUEVO LEÓN</t>
  </si>
  <si>
    <t>DANIEL</t>
  </si>
  <si>
    <t>VAZQUEZ</t>
  </si>
  <si>
    <t>FACIO</t>
  </si>
  <si>
    <t>SN2100009</t>
  </si>
  <si>
    <t>Visita a KONE Elevadores para levantamiento de campo de torre para curado de puertas</t>
  </si>
  <si>
    <t>NUEVO LEON</t>
  </si>
  <si>
    <t>COAHUILA</t>
  </si>
  <si>
    <t>CN2100007</t>
  </si>
  <si>
    <t>007007Alimentos NacionalesCN21</t>
  </si>
  <si>
    <t>Se hace visita a panta del cliente. Se hace levantamiento de campo Se hace revision del primer concepto del proyecto Se de el seguimiento a las porpuetas que estaban pendientes de respuesta por parte del cliente</t>
  </si>
  <si>
    <t>Se hace el levantamiento de campo y se da seguimiento de las propuestas con el cliente</t>
  </si>
  <si>
    <t>Levantamiento de campo Visita al cliente Se revisan tiempos y necesidades del proyecto Se tiene junta con el comprador para revisar el estatus de las propuestas que habiamos mandado</t>
  </si>
  <si>
    <t>Acercamiento con cliente Busqueda de propyectos fuera de NL</t>
  </si>
  <si>
    <t>VICENTE</t>
  </si>
  <si>
    <t>SOLIS</t>
  </si>
  <si>
    <t>SQ2100547</t>
  </si>
  <si>
    <t>SERVICIO DE INSPECCIÓN EN LA EMPRESA MAZDA, GTO.</t>
  </si>
  <si>
    <t>CQ2100475</t>
  </si>
  <si>
    <t>009016Alimentos NacionalesCQ21</t>
  </si>
  <si>
    <t>SERVICIO DE INSPECCION EN LA EMPRESA MAZDA, GTO.</t>
  </si>
  <si>
    <t>INSPECCIÓN DE RSP POR END. LIQUIDOS PENETRANTES, PARTÍCULAS MAGNÉTICAS Y MEDICIÓN DE ESPESORES</t>
  </si>
  <si>
    <t>FACTURACIÓN</t>
  </si>
  <si>
    <t>SQ2100556</t>
  </si>
  <si>
    <t>CQ2100484</t>
  </si>
  <si>
    <t>INSPECCIÓN DE RSP POR MEDCIÓN DE ESPESORES, LIQUIDOS Y PARTÍCULAS</t>
  </si>
  <si>
    <t>SQ2100599</t>
  </si>
  <si>
    <t>SERVICIO DE INSPECCIÓN EN LA EMPRESA P&amp;G. GTO.</t>
  </si>
  <si>
    <t>CQ2100534</t>
  </si>
  <si>
    <t>SERVICIO DE INSPECCIÓN EN LA EMPRESA P&amp;G, GTO.</t>
  </si>
  <si>
    <t>INSPECCION DE TANQUE DE ALMACENAMIENTO POR LIQUIDOS, MEDICIÓN DE ESPESORES Y RUGOSIDAD.</t>
  </si>
  <si>
    <t>SQ2100620</t>
  </si>
  <si>
    <t>CQ2100548</t>
  </si>
  <si>
    <t>SERVICIO DE INSPECCIÓN EN LA EMPRESA MAZDA</t>
  </si>
  <si>
    <t>INSPECCIÓN DE TANQUES POR ENSAYOS NO DESTRUCTIVOS EN LA EMPRESA MAZDA PARA TRAMITE EN LA STPS</t>
  </si>
  <si>
    <t>009016Hospedaje NacionalCQ2100</t>
  </si>
  <si>
    <t>SQ2100685</t>
  </si>
  <si>
    <t>SERVICIO DE INSPECCIÓN EN ASA GUADALAJARA.</t>
  </si>
  <si>
    <t>CQ2100603</t>
  </si>
  <si>
    <t>SERVICIO DE INSPECCION EN ASA GUADALAJARA</t>
  </si>
  <si>
    <t>INSPECCIÓN VISUAL CON BOROSCOPIO EN  LINEAS DE TUBERIA DE COMBUSTIBLE EN ASA GUDALAJARA</t>
  </si>
  <si>
    <t>SQ2100841</t>
  </si>
  <si>
    <t>SERVICIO DE INSPECCIOÓN EN LA EMPRESA MISSION HILLS.SJI, GTO.</t>
  </si>
  <si>
    <t>CQ2100740</t>
  </si>
  <si>
    <t>SERVICIO DE INSPECCION EN LA EMPRESA MISSION HILLS</t>
  </si>
  <si>
    <t>SERVICIO POR MEDICIÓN DE ESPESORES EN TANQUE DE ALMACENAMIENTO.</t>
  </si>
  <si>
    <t>SQ2100857</t>
  </si>
  <si>
    <t>SERVICIO DE INSPECCIÓN EN LA EMPRESA MISSION HILLS, SJI, GTO.</t>
  </si>
  <si>
    <t>CQ2100770</t>
  </si>
  <si>
    <t>SERVICIO DE INSPECCIÓN EN LA EMPRESA MISSION HILLS</t>
  </si>
  <si>
    <t>INSPECCIÓN DE RSP, POR MEDICIÓN DE ESPESORES.</t>
  </si>
  <si>
    <t>SQ2100877</t>
  </si>
  <si>
    <t>SERVICIO DE INSPECCIÓN EN LA EMPRESA MISSION HILLS,SJI, GTO.</t>
  </si>
  <si>
    <t>CQ2100777</t>
  </si>
  <si>
    <t>SERVICIO DE INSPECCIÓN EN LA EMPRESA MISSIN HILLS SAN JOSÉ ITURBIDE, GTO.</t>
  </si>
  <si>
    <t xml:space="preserve">INSPECCIÓN DE RSP, POR ENSAYOS NO DESTRUCTIVOS (MEDICIÓN  DE ESPESORES) EN LA EMPRESA MISSIN HILLS.  </t>
  </si>
  <si>
    <t>SQ2100916</t>
  </si>
  <si>
    <t>ENTREGA DE DE REQUISITOS TECNICOS PARA CONVENIO. ASA AEROPUERTO, D.F.</t>
  </si>
  <si>
    <t>CQ2100831</t>
  </si>
  <si>
    <t>ENTREGA DE REQUISITOS TÉCNICOS PARA CONVENIO Y REPORTES DE INSPECCIÓN EN LA EMPRESA ASA MÉXICO, D.F.</t>
  </si>
  <si>
    <t>SQ2100948</t>
  </si>
  <si>
    <t>SERVICIO DE INSPECCIÓN EN LA EMPRESA KALTEX, TULA HIDALGO.</t>
  </si>
  <si>
    <t>CQ2100856</t>
  </si>
  <si>
    <t>SERICO DE INSPECCIÓN EN LA EMPRESA KALTEX, TULA HIDALGO</t>
  </si>
  <si>
    <t>INSPECCIÓN DE RSP, POR ENSAYOS NO DESTRUCTIVOS (MEDICIÓN  DE ESPESORES Y PARTÍCULAS MAGNÉTICAS) EN LA EMPRESA KALTEX, TULA HIDALGO.</t>
  </si>
  <si>
    <t>SQ2100959</t>
  </si>
  <si>
    <t>COMISIÓN EN LA EMPRESA KALTEX, TULA HIDALGO.</t>
  </si>
  <si>
    <t>CQ2100865</t>
  </si>
  <si>
    <t>SERVICIO DE INSPECCIÓN POR END EN LA EMPRESA KALTEX, TULA HIDALGO</t>
  </si>
  <si>
    <t>SQ2100979</t>
  </si>
  <si>
    <t>SERVICIO DE INSPECCIÓN POR END EN LA EMPRESA KALTEX, TULA HIDALGO.</t>
  </si>
  <si>
    <t>CQ2100881</t>
  </si>
  <si>
    <t>SERVICIO DE INSPECCIÓN EN LA EMPRESA KALTEX TULA HIDALGO</t>
  </si>
  <si>
    <t>LUCIANO</t>
  </si>
  <si>
    <t>NAVA</t>
  </si>
  <si>
    <t>BALANZAR</t>
  </si>
  <si>
    <t>SQ2100606</t>
  </si>
  <si>
    <t>Visita al Hospital General de Tlahuac en la Cd. de México para dar capacitación al personal técnico y medico, firma de bitácoras de mantenimiento, así como la actualización y mantenimiento de 48 ventiladores.</t>
  </si>
  <si>
    <t>CQ2100559</t>
  </si>
  <si>
    <t>009059Hospedaje NacionalCQ2100</t>
  </si>
  <si>
    <t>llegamos al hostipal alas 11 am, entramos al area covid, nos prestaron too el EPP, actualizamos software, se actualizo la tiva y se calibro el blender.</t>
  </si>
  <si>
    <t>Se actualizaron los 48 ventiladores, se instalaron en area covid y se dejaron funcionando el 100 porciento.</t>
  </si>
  <si>
    <t>Se reestablecio la relacion con el encargado de inhaloterapia y se podria instalar alguna funcionalidad para tener datos cad cierto tiempo.</t>
  </si>
  <si>
    <t>009059EstacionamientoCQ2100559</t>
  </si>
  <si>
    <t>009059Alimentos NacionalesCQ21</t>
  </si>
  <si>
    <t>SQ2100633</t>
  </si>
  <si>
    <t>TRASLADO AL ALMACÉN GENERAL DEL ISSSTE PARA APOYO EN LAS ACTIVIDADES  DE ENSAMBLE DE VENTILADORES.</t>
  </si>
  <si>
    <t>CQ2100560</t>
  </si>
  <si>
    <t>Actualización de 50 ventiladores para enviarlos a Cuba</t>
  </si>
  <si>
    <t>Se desembalaron los ventiladores, se revisaron las llantas, se modifico la tarima, se actualizo software y tiva, se calibra el blender, se hacen pruebas de funcionamiento y se embala de nuevo.</t>
  </si>
  <si>
    <t>Se revisaron las llantas, se actualizo software y de la tiva, y se empacaron nuevamente listos para el envío.</t>
  </si>
  <si>
    <t>Se logra tener listo los 50 ventiladores para Cuba.</t>
  </si>
  <si>
    <t>SQ2100646</t>
  </si>
  <si>
    <t>TRASLADO AL ALMACÉN GENERAL DEL DEL ISSSTE EN LA CD. DE MÉXICO PARA ACTUALIZACIÓN DE VENTILADORES PARA CUBA.</t>
  </si>
  <si>
    <t>CQ2100583</t>
  </si>
  <si>
    <t>TRASLADO AL ALMACÉN GENERAL DEL DEL ISSSTE EN LA CD. DE MÉXICO PARA ACTUALIZACIÓN DE VENTILADORES PARA CUBA</t>
  </si>
  <si>
    <t>Se actualizó el software y la tiva, se realizaron pruebas de validación y este proceso se realizó para los 100 ventiladores.</t>
  </si>
  <si>
    <t>Se dejaron listos los 100 ventiladores para enviarlos a cuba</t>
  </si>
  <si>
    <t>Se madura el proceso de actualización de los ventiladores y ahora las tiempos son mas cortos.</t>
  </si>
  <si>
    <t>009059EstacionamientoCQ2100583</t>
  </si>
  <si>
    <t>SQ2100681</t>
  </si>
  <si>
    <t>CQ2100690</t>
  </si>
  <si>
    <t>Nos presentamos en Conacyt a las 10am, se realizo una presentación por parte de la Dra. Aide y al final explicamos el funcionamiento del ventilador.</t>
  </si>
  <si>
    <t>Se hace una presentación de los ventiladores al embajador de Guatemala y se presentan muy interesados.</t>
  </si>
  <si>
    <t>Se inicia con la elaboración de un convenio macro para iniciar una colaboracion con empresas de Guatemala</t>
  </si>
  <si>
    <t>SQ2100737</t>
  </si>
  <si>
    <t>SALGADO JIMENEZ TOMAS</t>
  </si>
  <si>
    <t>CQ2100677</t>
  </si>
  <si>
    <t>no assisti a la prueba.</t>
  </si>
  <si>
    <t>BAQ210046</t>
  </si>
  <si>
    <t>Pruebas y experimentos en mar del glider prototipo en Ensenada, BC. Estas pruebas en mar son necesarias para cerrar el entregable. Nota: el Precio de $ 5,998.0 incluye 2 boletos de avión: -Vuelo Salida: Cd de México a Tijuana el 15 de agosto 2021 -Vuelo Regreso: Tijuana a Cd de México el 20 de</t>
  </si>
  <si>
    <t>CAQ210026</t>
  </si>
  <si>
    <t>009059Boletos de Avión Naciona</t>
  </si>
  <si>
    <t>Pruebas y experimentos en mar del glider prototipo en Ensenada, BC. Estas pruebas en mar son necesarias para cerrar el entregable.</t>
  </si>
  <si>
    <t>No asisti a la prueba porque tenia que subir la propuesta de la Escuela Mexicana de Ventilación al sistema de conacyt.</t>
  </si>
  <si>
    <t>Las pruebas en mar fueron un exxito, el Glider fue hasta una profundidad de 50 metros.</t>
  </si>
  <si>
    <t>Se buscarán otras pruebas en mar y nuevos desarrollos.</t>
  </si>
  <si>
    <t>ADALBERTO</t>
  </si>
  <si>
    <t>GUZMAN</t>
  </si>
  <si>
    <t>NAFATA</t>
  </si>
  <si>
    <t>SQ2100584</t>
  </si>
  <si>
    <t>Inspección Procter &amp; Gamble</t>
  </si>
  <si>
    <t>CQ2100531</t>
  </si>
  <si>
    <t>009067Alimentos NacionalesCQ21</t>
  </si>
  <si>
    <t>Inspección de tanque de almacenamiento de producto mediante líquidos penetrantes, medición preventiva de espesores y rugosidad en la empresa P&amp;G</t>
  </si>
  <si>
    <t>Revisión de integridad mecánica de tanque vertical de almacenamiento de producto en la empresa P&amp;G</t>
  </si>
  <si>
    <t>SQ2100591</t>
  </si>
  <si>
    <t>Inspección en Procter &amp; Gamble</t>
  </si>
  <si>
    <t>CQ2100532</t>
  </si>
  <si>
    <t>Inspección de tanque vertical de almacenamiento de producto mediante líquidos penetrantes, medición preventiva de espesores y rugosidad en la empresa P&amp;G</t>
  </si>
  <si>
    <t>SQ2100602</t>
  </si>
  <si>
    <t>Inspección en la empresa P&amp;G</t>
  </si>
  <si>
    <t>CQ2100535</t>
  </si>
  <si>
    <t>Evaluación de integridad mecánica de tanque de almacenamiento de producto en la empresa P&amp;G</t>
  </si>
  <si>
    <t>SQ2100628</t>
  </si>
  <si>
    <t>Inspección en empresa Mazda</t>
  </si>
  <si>
    <t>CQ2100562</t>
  </si>
  <si>
    <t>009067Hospedaje NacionalCQ2100</t>
  </si>
  <si>
    <t>Se inspeccionaron los recipientes sujetos a presión mediante medición de espesores y líquidos penetrantes</t>
  </si>
  <si>
    <t>SQ2100741</t>
  </si>
  <si>
    <t>Inspección</t>
  </si>
  <si>
    <t>CQ2100654</t>
  </si>
  <si>
    <t>Inspección de tubería que transporta Cloro líquido-gas en la empresa Veolia</t>
  </si>
  <si>
    <t>Inspección mediante medición preventiva de espesores y levantamiento de isométrico de tubería que transporta Cloro líquido-gas en la empresa Veolia</t>
  </si>
  <si>
    <t>Mantenimiento preventivo de tubería que transporta Cloro líquido-gas</t>
  </si>
  <si>
    <t>SQ2100876</t>
  </si>
  <si>
    <t>INSPECCIÓN MANUFACTURAS KALTEX</t>
  </si>
  <si>
    <t>CQ2100771</t>
  </si>
  <si>
    <t>Inspección de recipientes sujetos a presión mediante líquidos penetrantes y medición preventiva de espesores en la empresa Manufacturas Kaltex</t>
  </si>
  <si>
    <t>Mantenimiento preventivo de recipientes sujetos a presión mediante líquidos penetrantes y medición preventiva de espesores en la empresa Manufacturas Kaltex</t>
  </si>
  <si>
    <t>SQ2100932</t>
  </si>
  <si>
    <t>CQ2100858</t>
  </si>
  <si>
    <t>Inspección de recipientes sujetos a presión mediante ensayos no destructivas en la empresa Procter &amp; Gamble</t>
  </si>
  <si>
    <t>Mantenimiento preventivo de recipientes sujetos a presión mediante ensayos no destructivas en la empresa P&amp;G</t>
  </si>
  <si>
    <t>DIRECCIÓN DE DESARROLLO Y ALINEAMIENTO ORGANIZACIONAL</t>
  </si>
  <si>
    <t>GERENCIA DE ADMINISTRACIÓN DE PROYECTOS</t>
  </si>
  <si>
    <t>JOSE IGNACIO</t>
  </si>
  <si>
    <t>NAVARRETE</t>
  </si>
  <si>
    <t>SQ2100560</t>
  </si>
  <si>
    <t>Entrega de contrato de SEDENA y recoger cheque de pago. Entrega de piuezas en Cidesi Edo de México</t>
  </si>
  <si>
    <t>CQ2100500</t>
  </si>
  <si>
    <t>009068Alimentos NacionalesCQ21</t>
  </si>
  <si>
    <t>Se lograron de acuerdo a lo planeado</t>
  </si>
  <si>
    <t>Se contribuye a los ingresos de la Gerencia de Manufactura</t>
  </si>
  <si>
    <t>EDUARDO</t>
  </si>
  <si>
    <t>SQ2100593</t>
  </si>
  <si>
    <t>Servicios de calibración de dinamometros (medicion de rodillos y distancia de  brazo de palanca), prueba dinámica y determinación de inercia equivalente a través de prueba de Coast Down con carga, en línea de trabajo de UVV</t>
  </si>
  <si>
    <t>CQ2100544</t>
  </si>
  <si>
    <t>009072Alimentos NacionalesCQ21</t>
  </si>
  <si>
    <t>SQ2100666</t>
  </si>
  <si>
    <t>TLAXCALA</t>
  </si>
  <si>
    <t>CQ2100611</t>
  </si>
  <si>
    <t xml:space="preserve">Servicios de calibración de dinamometros (medicion de rodillos y distancia de  brazo de palanca), prueba dinámica y determinación de inercia equivalente a través de prueba de Coast Down con carga, en línea de trabajo de UVV en tlaxcala </t>
  </si>
  <si>
    <t>Servicios de calibración de dinamometros (medicion de rodillos y distancia de  brazo de palanca), prueba dinámica y determinación de inercia equivalente a través de prueba de Coast Down con carga, en línea de trabajo de UVV en tlaxcala</t>
  </si>
  <si>
    <t>009072Hospedaje NacionalCQ2100</t>
  </si>
  <si>
    <t>SQ2100733</t>
  </si>
  <si>
    <t>Servicios de calibración de dinamometros (medicion de rodillos y distancia de  brazo de palanca), prueba dinámica y determinación de inercia equivalente a través de prueba de Coast Down con carga, en líneas de trabajo de UVV del estado de mexico</t>
  </si>
  <si>
    <t>NETZAHUALCOYOTL</t>
  </si>
  <si>
    <t>CQ2100664</t>
  </si>
  <si>
    <t>009072Transporte local (taxi,</t>
  </si>
  <si>
    <t>SQ2100778</t>
  </si>
  <si>
    <t>Servicios de calibración de dinamometros (medicion de rodillos y distancia de  brazo de palanca), en líneas de trabajo de UVV del estado de mexico</t>
  </si>
  <si>
    <t>CQ2100693</t>
  </si>
  <si>
    <t>SQ2100794</t>
  </si>
  <si>
    <t>Servicios de calibración de dinamometros (medicion de rodillos y distancia de  brazo de palanca), en líneas de trabajo de UVV</t>
  </si>
  <si>
    <t>CQ2100709</t>
  </si>
  <si>
    <t>SQ2100814</t>
  </si>
  <si>
    <t>Servicios de calibración de dinamometros (medicion de rodillos y distancia de  brazo de palanca), prueba dinámica y determinación de inercia equivalente a través de prueba de Coast Down con carga, en líneas de trabajo de UVV del estado de mexico y de toluca</t>
  </si>
  <si>
    <t>CQ2100935</t>
  </si>
  <si>
    <t>Servicios de calibración de dinamometros (medicion de rodillos y distancia de  brazo de palanca), prueba dinámica y determinación de inercia equivalente a través de prueba de Coast Down con carga, en líneas de trabajo de UVV del estado de mexico y detoluca</t>
  </si>
  <si>
    <t>009072Transporte local (taxi,C</t>
  </si>
  <si>
    <t>SQ2100888</t>
  </si>
  <si>
    <t>servicio de rugosidad de tolva y medicion en verificentro en estado de mexico</t>
  </si>
  <si>
    <t>CQ2100805</t>
  </si>
  <si>
    <t>SQ2100922</t>
  </si>
  <si>
    <t>servicio de calibracion de dinamometro en la empresa GM Toluca</t>
  </si>
  <si>
    <t>CQ2100853</t>
  </si>
  <si>
    <t>JUAN LUIS</t>
  </si>
  <si>
    <t>MENDOZA</t>
  </si>
  <si>
    <t>SQ2100705</t>
  </si>
  <si>
    <t>INSPECCIÓN  EN  MISSION  HILLS   EN  GUANAJUATO</t>
  </si>
  <si>
    <t>CQ2100642</t>
  </si>
  <si>
    <t>009088Alimentos NacionalesCQ21</t>
  </si>
  <si>
    <t>Inspeccionar  dos recipientes  de acero  inoxidable  por  medio  de pruebas  no  destructivas.</t>
  </si>
  <si>
    <t>Se  inspeccionaron  dos  recipientes  de  acero  inoxidable  por  medio  de  ultrasonido  industrial, medición  de  espesores, líquidos penetrantes  y  análisis químico a  TANQUES FG 1 y 2  en  planta  de  Liquidos  en las  instalaciones  de  Mission  Hills.</t>
  </si>
  <si>
    <t>Se  concluyó  con la  inspección  de  las pruebas</t>
  </si>
  <si>
    <t>Se  procede  a la  generación  de informes  y  de  factura  al  cliente.</t>
  </si>
  <si>
    <t>SQ2100726</t>
  </si>
  <si>
    <t>INSPECCIÓN  EN LA  EMPRESA  UTLX   EN  CEAYA,  GTO.  (REVISIÓN  MÉDICA  YA  APROBADA)</t>
  </si>
  <si>
    <t>CQ2100643</t>
  </si>
  <si>
    <t>INSPECCIÓN  EN LA  EMPRESA  UTLX  A CARROTANQUE NATX-950371</t>
  </si>
  <si>
    <t>SE  INSPECIONÓ  UNCARRO  TANQU POR MEDIO  DE PARTÍCULAS   MAGNÉTICAS  FLUORESCENTES  EN  EL INTERIOR  DEL  CARRO NATX-950371</t>
  </si>
  <si>
    <t>SE CONCLUYÓ  CON LA  INSPECCIÓN  DEL  SERVICIO</t>
  </si>
  <si>
    <t>SE  PROCEDE  A  LA GENERACIÓN  DE  INFORMES PARA  GENERAR  FACTURA  AL  CLIENTE</t>
  </si>
  <si>
    <t>SQ2100727</t>
  </si>
  <si>
    <t>INSPECCIÓN  EN  MISSION  HILLS   EN  GUANAJUATO (REVISIÓN  MÉDICA  YA  APROBADA)</t>
  </si>
  <si>
    <t>CQ2100649</t>
  </si>
  <si>
    <t>Vista  Técnica  en  la  empresa  Mission  Hills  a  tanques  de  alamacenamiento.</t>
  </si>
  <si>
    <t>Se  revisaron las  condiciones  de  inspección  de tanques  de  almacenamiento en  las  plantas  de  Oral  Care  y  de  Home  Care  en  Mission Hills.</t>
  </si>
  <si>
    <t>Se  revisaron  las  condiciones   actuales  de los  tanques  para  la  generación  de Análisis  de Seguridad</t>
  </si>
  <si>
    <t xml:space="preserve">Se  procede  a la  generación  de  los  análisis  de  riesgo  de lo  equipos  para  su  posterior  inspección  y  envío. </t>
  </si>
  <si>
    <t>SQ2100810</t>
  </si>
  <si>
    <t>INSPECCIÓN EN LA  EMPRESA  TECSA   EN  SAN LUIS POTOSÍ (REVISIÓN MÉDICA  APROBADA)</t>
  </si>
  <si>
    <t>CQ2100746</t>
  </si>
  <si>
    <t>INSPECCIÓN  EN LA  EMPRESA  TECSA  EN  SAN LUIS POTOSÍ</t>
  </si>
  <si>
    <t>SE  INSPECCIONÓ  UN  TANQUE DE  ACERO  INOXIDABLE DE  80  TONELDAS  POR  MEDIO  DE  RADIOGRAFÍA  INDUSTRIAL  EN LA  EMPRESA  TECSA  EN  SAN LUIS POTOSÍ.</t>
  </si>
  <si>
    <t>SE CONCLUYÓ  CON LA INSPECCIÓN  DEL  TANQUE DE ACERO  INXOXIDABLE.</t>
  </si>
  <si>
    <t>SE  PROCEDE  A LA  GENERACIÓN  DE   INFORMES  Y  FACTURACIÓN  PARA  CIERRE  DEL  SERVICIO.</t>
  </si>
  <si>
    <t>009088Hospedaje NacionalCQ2100</t>
  </si>
  <si>
    <t>SQ2100869</t>
  </si>
  <si>
    <t>INSPECCIÓN  EN LA  TAR  DE  ACAPULCO, GRO.   ASA (AEROPUERTOS Y  SERVICIOS  AUXILIARES)  PARTE  MÉDICO  APROBADO.</t>
  </si>
  <si>
    <t>CQ2100860</t>
  </si>
  <si>
    <t>INSPECCIÓN EN  EL  TANQUE TV1  EN  LA  TERMINAL  DE  AROPUERTOS  Y  SERVICIOS  AUXILIARES  DE  ACAPULCO.  GRO.</t>
  </si>
  <si>
    <t>SE  INSPECCIONÓ  EL  TANQUE  TV-1  POR  MEDIO  DE  LÍQUIDOS PENETRANTES  EN FONDO,  ENCONTRÁNDOSE  LA FUGA  QUE PRESENTABA  EL  TANQUE,  ASÍ  COMO LA  MEDICIÓN  DE  ESPSORES  EN  CUERPO,  FONDO Y  CÚPULA.  SE  REALIZÓ  LA  INSPECCIÓN  DEL  TANQUE POR  MEDIO  DE  FUGA  DE  CAMPO  MAGNÉTICO.  NOTA:  LA  FACTURA  QUE  VIENE  MARCADA  CON  UN  TOTAL  DE $310  SE LE PIDIÓ  A  LAS PERSONAS QUE CORRIGIERAN   CON LA  FORMA  DE PAGO  CON  TARJETA  DE  DEBITO.</t>
  </si>
  <si>
    <t>SE  CONCLUYÓ  CON LA  INSPECCIÓN   NO  DESTRUCTIVA  DEL TANQUE  TV-1 L  CUAL PRESENTABA  UNA  FUGA  DE  COMBUSTIBLE.</t>
  </si>
  <si>
    <t>SE  REALIZÓ  LA  INSPECCIÓN DEL  TANQUE  TV-1  PO R MEDIO  DE  ENSAYOS  NO  DESTRUCTIVOS.  SE PROCEDE A LA  GENERACIÓN  DE   REPORTES  PARA  SU FACTURACIÓN.</t>
  </si>
  <si>
    <t>SQ2100967</t>
  </si>
  <si>
    <t>INSPECCIÓN  EN LA  CD  DE  ORIZABA,  VERACRUZ (REVISIÓN  MÉDICA  APROBADA)</t>
  </si>
  <si>
    <t>CQ2100912</t>
  </si>
  <si>
    <t>Inspección  en  la  empresa  Cervecería Cuauhtémoc  Moctezuma en  la  Cd.  de  Orizaba,  Ver.</t>
  </si>
  <si>
    <t>S  inspeccionó   un  recipinte  sujeto a   apresión por medio  de  pruebas  no  destructivas:  líquidos penetrantes  y  medición  de  espesores  por  ultrasnido  industrial.</t>
  </si>
  <si>
    <t>Se  concluyó  con  el  servicio  de  inspección.</t>
  </si>
  <si>
    <t>Se procede  a l  generación  de  reportes  de  inspección  y factura.</t>
  </si>
  <si>
    <t>GUADALUPE DANIEL</t>
  </si>
  <si>
    <t>PEREZ</t>
  </si>
  <si>
    <t>SQ2100597</t>
  </si>
  <si>
    <t>Servicio de calibración de medidores de flujo en la empresa Volks Wagen de México, ubicada en el estado de Puebla. Nota: El cliente solicita presentarse el lunes temprano, por tal motivo se iniciará el translado el día Domingo</t>
  </si>
  <si>
    <t>CQ2100549</t>
  </si>
  <si>
    <t>009112Alimentos NacionalesCQ21</t>
  </si>
  <si>
    <t>Servicio de calibración de 11  medidores de flujo tipo desplazamiento positivo en 7 puntos dentro de su alcance por comparación con medidas volumétricas de diferentes capacidades en las instalaciones de Volks Wagen, Puebla</t>
  </si>
  <si>
    <t>Se logró realizar el servicio en el teimpo programado con el cliente</t>
  </si>
  <si>
    <t>Satisfacción del cliente, cumplimiento con el programa de calirbación del os servicios programados, aportación a la facturación de CIDESI</t>
  </si>
  <si>
    <t>009112Hospedaje NacionalCQ2100</t>
  </si>
  <si>
    <t>VELASCO</t>
  </si>
  <si>
    <t>SQ2100524</t>
  </si>
  <si>
    <t>Inspección de recipientes sujetos a presión de la empresa MAZDA</t>
  </si>
  <si>
    <t>CQ2100457</t>
  </si>
  <si>
    <t>009121Alimentos NacionalesCQ21</t>
  </si>
  <si>
    <t>Inspección de Recipientes Sujetos a Presión de la empresa MAZDA.</t>
  </si>
  <si>
    <t>Tiempo de transportación CIDESI-MAZDA SALAMANCA-CIDESI. Inspección de Recipientes Sujetos a Presión de la empresa MAZDA.</t>
  </si>
  <si>
    <t>Servicios de inspección Gerencia de Caracterización de Materiales</t>
  </si>
  <si>
    <t>SQ2100525</t>
  </si>
  <si>
    <t>CQ2100458</t>
  </si>
  <si>
    <t>Servicios de inspección Gerencia de Caracterización de Materiales.</t>
  </si>
  <si>
    <t>SQ2100544</t>
  </si>
  <si>
    <t>CQ2100476</t>
  </si>
  <si>
    <t>Servicios de inspección Gerencia de Caracterización de Materiales Inspección de Recipientes Sujetos a Presión de la empresa MAZDA.</t>
  </si>
  <si>
    <t>SQ2100549</t>
  </si>
  <si>
    <t>Inspección de RSPs de la empresa MAZDA</t>
  </si>
  <si>
    <t>CQ2100477</t>
  </si>
  <si>
    <t>SQ2100558</t>
  </si>
  <si>
    <t>CQ2100483</t>
  </si>
  <si>
    <t>SQ2100622</t>
  </si>
  <si>
    <t>CQ2100551</t>
  </si>
  <si>
    <t>Tiempo de transportación CIDESI-MAZDA-CIDESI Inspección de Recipientes Sujetos a Presión de la empresa MAZDA.</t>
  </si>
  <si>
    <t>Inspección de Recipientes Sujetos a Presión de la empresa MAZDA como servicio de inspección</t>
  </si>
  <si>
    <t>009121Hospedaje NacionalCQ2100</t>
  </si>
  <si>
    <t>SQ2100720</t>
  </si>
  <si>
    <t>Visita técnica a la empresa Kaltex SJR</t>
  </si>
  <si>
    <t>CQ2100633</t>
  </si>
  <si>
    <t>Visita técnica de Recipientes sujetos a presión.</t>
  </si>
  <si>
    <t>Tiempo de transportación CIDESI-KALTEX SJR-CIDESI Visita técnica de Recipientes sujetos a presión</t>
  </si>
  <si>
    <t>Visita técnica de Recipientes sujetos a presión</t>
  </si>
  <si>
    <t>SQ2100739</t>
  </si>
  <si>
    <t>Inspección de RSPs de la empresa MAZDA MOTOR</t>
  </si>
  <si>
    <t>CQ2100648</t>
  </si>
  <si>
    <t>SQ2100900</t>
  </si>
  <si>
    <t>Entrega-recepción de documentación de RSPs de la empresa CAJAPLAX</t>
  </si>
  <si>
    <t>CQ2100808</t>
  </si>
  <si>
    <t>Entrega-recepción de EIM de RSPs de la empresa CAJAPLAX</t>
  </si>
  <si>
    <t>Entrega-recepción de EIM de RSPs y Oficio STPS de la empresa CAJAPLAX</t>
  </si>
  <si>
    <t>CRISTIAN</t>
  </si>
  <si>
    <t>SQ2100583</t>
  </si>
  <si>
    <t>servicio de inspeccion en la empresa procter</t>
  </si>
  <si>
    <t>CQ2100525</t>
  </si>
  <si>
    <t>009122Alimentos NacionalesCQ21</t>
  </si>
  <si>
    <t>inspeccion por END a tanque de almacenamiento de 90,000 litros en la empresa procter</t>
  </si>
  <si>
    <t>sin ind</t>
  </si>
  <si>
    <t>facturación al proyecto qs0592</t>
  </si>
  <si>
    <t>SQ2100590</t>
  </si>
  <si>
    <t>servicio de inspección en la empres procter</t>
  </si>
  <si>
    <t>CQ2100526</t>
  </si>
  <si>
    <t>inspección por END a tanque de almacenamiento de 90,000 litros en la empresa procter</t>
  </si>
  <si>
    <t>facturacion al proyecto qs0592</t>
  </si>
  <si>
    <t>SQ2100600</t>
  </si>
  <si>
    <t>servicio de inspección en la empresa procter</t>
  </si>
  <si>
    <t>CQ2100533</t>
  </si>
  <si>
    <t>inspección por END a tanque de 90,000 litros en la empresa procter</t>
  </si>
  <si>
    <t>SQ2100650</t>
  </si>
  <si>
    <t>servicio de inspección en ASA monterrey</t>
  </si>
  <si>
    <t>CQ2100592</t>
  </si>
  <si>
    <t>inspeccion por liquidos penetrantes, medicion de espesores y ondas guiadas a tuberia de 10 plg en el aeropuerto internacional de monterrey</t>
  </si>
  <si>
    <t>facturacion al proyecto qs0593</t>
  </si>
  <si>
    <t>009122Hospedaje NacionalCQ2100</t>
  </si>
  <si>
    <t>SQ2100740</t>
  </si>
  <si>
    <t>servicio de inspección en la empresa veolia</t>
  </si>
  <si>
    <t>CQ2100652</t>
  </si>
  <si>
    <t>medicion de espesores en linea de tuberia de cloro (gas y liquido)</t>
  </si>
  <si>
    <t>SQ2100872</t>
  </si>
  <si>
    <t>servicio de inspección en la empresa kaltex</t>
  </si>
  <si>
    <t>CQ2100774</t>
  </si>
  <si>
    <t>inspeccion por end para tramite con stps  a 14 recipientes de sanforizadora</t>
  </si>
  <si>
    <t>SQ2100892</t>
  </si>
  <si>
    <t>servicio de inspeccion en la empresa kaltex tlautla</t>
  </si>
  <si>
    <t>CQ2100807</t>
  </si>
  <si>
    <t>inspección por END a 14 rsp´s de sanforizadora para tramite con stps</t>
  </si>
  <si>
    <t>SQ2100893</t>
  </si>
  <si>
    <t>CQ2100809</t>
  </si>
  <si>
    <t>inspección por END a 14 rsp´s para tramite con stps</t>
  </si>
  <si>
    <t>SQ2100905</t>
  </si>
  <si>
    <t>CQ2100836</t>
  </si>
  <si>
    <t>inspeccion de 16 rodillos de sanforizadora no. 4 de la empresa kaltex tlautla</t>
  </si>
  <si>
    <t>SQ2100935</t>
  </si>
  <si>
    <t>CQ2100837</t>
  </si>
  <si>
    <t>inspeccion por END a 6 recipientes sujetos a presion para tramite con stps y 1 inspeccion visual con boroscopio a lkinea de tuberia de agua helada en la empresa procter</t>
  </si>
  <si>
    <t>SQ2100936</t>
  </si>
  <si>
    <t>CQ2100838</t>
  </si>
  <si>
    <t>inspeccion por END  de 14 tamboras de sanforizadora no. 5</t>
  </si>
  <si>
    <t>SQ2100972</t>
  </si>
  <si>
    <t>servicio de inspección en la empresa kaltex tlautla</t>
  </si>
  <si>
    <t>CQ2100885</t>
  </si>
  <si>
    <t>inspección  por END a 11 rsp´s para tramite con stps</t>
  </si>
  <si>
    <t>SQ2100973</t>
  </si>
  <si>
    <t>CQ2100887</t>
  </si>
  <si>
    <t>inspeción por END a 9 recipientes para tramite con stps</t>
  </si>
  <si>
    <t>JOSE RAMON</t>
  </si>
  <si>
    <t>SQ2100604</t>
  </si>
  <si>
    <t>Visita al Hospital General de Tlahuac en la Ciudad de México para dar capacitación al personal técnico y médico, así como la actualización y mantenimiento de 48 ventiladores.</t>
  </si>
  <si>
    <t>CQ2100570</t>
  </si>
  <si>
    <t>009136Alimentos NacionalesCQ21</t>
  </si>
  <si>
    <t>CAPACITACION A PERSONAL HOSPITALRIO</t>
  </si>
  <si>
    <t>INSTALACION, APERTURA Y CAPACITACION  A ENFERMERAS, BIOMEDICOS Y PERSONAL DE MANTENIMIENTO</t>
  </si>
  <si>
    <t>MEDICOS DE ACUERDO CON LO REALIZADO</t>
  </si>
  <si>
    <t>009136Hospedaje NacionalCQ2100</t>
  </si>
  <si>
    <t>SQ2100631</t>
  </si>
  <si>
    <t>CQ2100574</t>
  </si>
  <si>
    <t>009136EstacionamientoCQ2100574</t>
  </si>
  <si>
    <t>SQ2100640</t>
  </si>
  <si>
    <t>TRASLADO AL ESTADO DE SINALOA PARA TRANSPORTAR KITS PACIENTES PARA 20 VENTILADORES.</t>
  </si>
  <si>
    <t>CQ2100624</t>
  </si>
  <si>
    <t>Instalción y capacitación de 20 ventiladores en el estado de sinaloa</t>
  </si>
  <si>
    <t>SQ2100688</t>
  </si>
  <si>
    <t>TRASLADO A DISTINTAS CIUDADES DEL ESTADO DE SINALOA PARA TRANSPORTAR KITS PACIENTES PARA 20 VENTILADORES.</t>
  </si>
  <si>
    <t>CQ2100655</t>
  </si>
  <si>
    <t>Instalción y puesta a punto de 20 ventiladores Ehecatl 4T en el estado de sinaloa, asi como tambien capacitación en los hospitales de Mazatlan, Culiacan y los Mochis</t>
  </si>
  <si>
    <t>009136CasetasCQ2100655</t>
  </si>
  <si>
    <t>SQ2100777</t>
  </si>
  <si>
    <t>Dar soporte a entrega de ventiladores</t>
  </si>
  <si>
    <t>CQ2100705</t>
  </si>
  <si>
    <t>Apoyo a brigada de Tepic</t>
  </si>
  <si>
    <t>Se realizo una visita tecnica a la brigada de Tepic para temas relacionados con el ventilador E4T</t>
  </si>
  <si>
    <t>SQ2100785</t>
  </si>
  <si>
    <t>CQ2100712</t>
  </si>
  <si>
    <t>Visita a Hospital de Tlauac para catualización de 10 ventiladores E4T</t>
  </si>
  <si>
    <t>Se realizo la actualización de 10 ventiladores</t>
  </si>
  <si>
    <t>SQ2100804</t>
  </si>
  <si>
    <t>Realizar  la apertura, instalación, validación y capacitación de 6 ventiladores mecánicos Ehécatl 4T en el  ISSSTE Hospital Regional Presidente Benito Juárez, Oaxaca de Juárez, Oax.</t>
  </si>
  <si>
    <t>OAXACA</t>
  </si>
  <si>
    <t>CQ2100799</t>
  </si>
  <si>
    <t>Instalación, capacitación y puesta en operación de 6 ventiladores en el Hospital Issste Presidente Benito Juarez, en Oaxaca de Juarez</t>
  </si>
  <si>
    <t>SQ2100874</t>
  </si>
  <si>
    <t>CQ2100851</t>
  </si>
  <si>
    <t>Mantenimiento, actualización y puesta en operacion de 4 ventiladores en el Hospital ¨Jose Maria Morelos y Pavon¨</t>
  </si>
  <si>
    <t>009136EstacionamientoCQ2100851</t>
  </si>
  <si>
    <t>SQ2100984</t>
  </si>
  <si>
    <t>CQ2100933</t>
  </si>
  <si>
    <t>Visita tecnica al Hospital Regional Issste Veracruz, actualizacion de software y platica con el personal para genrar confianza en el uso del ventilador E4T</t>
  </si>
  <si>
    <t>Actualizacion de software, reparación de dos pantallas que presentaban fallas y platica con el personal</t>
  </si>
  <si>
    <t>SQ2101011</t>
  </si>
  <si>
    <t>Visita al ISSSTE Hospital General Dr. Dario Fernández Fierro en la Cd. de México para revisión de ventiladores.</t>
  </si>
  <si>
    <t>CQ2100970</t>
  </si>
  <si>
    <t>Visita tecnica al hospital Dario Fernandez Fierro, para revisar 3 ventiladores que se repotaron con falla.</t>
  </si>
  <si>
    <t>Se revisaron y actuaizaron 4 ventiladores instalados en el hospital</t>
  </si>
  <si>
    <t>DAISY ARIANA</t>
  </si>
  <si>
    <t>ROBLES</t>
  </si>
  <si>
    <t>SQ2100830</t>
  </si>
  <si>
    <t>Servicio de inspección en ASA Poza Rica</t>
  </si>
  <si>
    <t>CQ2100763</t>
  </si>
  <si>
    <t>009139Hospedaje NacionalCQ2100</t>
  </si>
  <si>
    <t>Inspección a Tubería de Gas Avión en terminal de ASA Poza Rica</t>
  </si>
  <si>
    <t>Se hizo levantamiento de tubería de gas Avión realizando medición de espesores por ultrasonido e Inspección Visual</t>
  </si>
  <si>
    <t>Satisfactorios debido al trabajo realizado</t>
  </si>
  <si>
    <t>Satisfactorias</t>
  </si>
  <si>
    <t>009139Alimentos NacionalesCQ21</t>
  </si>
  <si>
    <t>VELASQUEZ</t>
  </si>
  <si>
    <t>SQ2100853</t>
  </si>
  <si>
    <t>inspeccion en mission hills</t>
  </si>
  <si>
    <t>CQ2100786</t>
  </si>
  <si>
    <t>009142Alimentos NacionalesCQ21</t>
  </si>
  <si>
    <t>SQ2100860</t>
  </si>
  <si>
    <t>INSPECCION DE TANQUES EN MISSION HILLS</t>
  </si>
  <si>
    <t>CQ2100787</t>
  </si>
  <si>
    <t>SQ2100880</t>
  </si>
  <si>
    <t>INSPECCION EN MISSION HILLS</t>
  </si>
  <si>
    <t>CQ2100783</t>
  </si>
  <si>
    <t>SQ2100898</t>
  </si>
  <si>
    <t>inspeccion de tamboras en Kaltex Tepeji</t>
  </si>
  <si>
    <t>CQ2100816</t>
  </si>
  <si>
    <t>SQ2100901</t>
  </si>
  <si>
    <t>inspeccion en kaltex tepeji</t>
  </si>
  <si>
    <t>CQ2100817</t>
  </si>
  <si>
    <t>SQ2100917</t>
  </si>
  <si>
    <t>inspeccion de tanques en Mission Hills</t>
  </si>
  <si>
    <t>CQ2100824</t>
  </si>
  <si>
    <t>SQ2100910</t>
  </si>
  <si>
    <t>Inspeccion en Kaltex Tepeji</t>
  </si>
  <si>
    <t>CQ2100825</t>
  </si>
  <si>
    <t>SQ2100941</t>
  </si>
  <si>
    <t>INSPECCION KALTEX TEPEJI DEL RIO</t>
  </si>
  <si>
    <t>CQ2100874</t>
  </si>
  <si>
    <t>SQ2100942</t>
  </si>
  <si>
    <t>CQ2100875</t>
  </si>
  <si>
    <t>SQ2100964</t>
  </si>
  <si>
    <t>inspeccion kaltex tepeji</t>
  </si>
  <si>
    <t>CQ2100876</t>
  </si>
  <si>
    <t>JUAN RODRIGO</t>
  </si>
  <si>
    <t>DIAZ</t>
  </si>
  <si>
    <t>TORRALBA</t>
  </si>
  <si>
    <t>SQ2100852</t>
  </si>
  <si>
    <t>Inspección de una caldera en la empresa Textiles Internacionales RIZA, Planta Uriangato Gto.</t>
  </si>
  <si>
    <t>CQ2100769</t>
  </si>
  <si>
    <t>009144Alimentos NacionalesCQ21</t>
  </si>
  <si>
    <t>- Levantamiento de datos técnicos de la Caldera, - Inspección de Caldera por Partículas Magnéticas, - Inspección de Caldera por Prueba Hidrostática, - Explicación al responsable del servicio por parte de la empresa sobre los alcances del servicio, - Aseso</t>
  </si>
  <si>
    <t>Se realiza la inspección y el levantamiento de datos técnicos de la Caldera de la empresa Textiles Internacionales RIZA.</t>
  </si>
  <si>
    <t>Contribución para alcanzar la meta financiera del proyecto.</t>
  </si>
  <si>
    <t>009144CasetasCQ2100769</t>
  </si>
  <si>
    <t>SQ2100945</t>
  </si>
  <si>
    <t>Visita técnica a CCM PlantaToluca e ingreso de documentos en la Delegación de la STPS de Toluca</t>
  </si>
  <si>
    <t>CQ2100877</t>
  </si>
  <si>
    <t>Visita técnica a la empresa CCM Planta Toluca y a la Delegación de la STPS de Toluca.</t>
  </si>
  <si>
    <t>-  Se realiza reunion con el Representante Legal de l empresa para firma de documentos del servicio de cumplimiento a la NOM-020 para los RSP. -  Se ingresan documentos de los RSP ante la STPS de Toluca para la autorización de funcionamiento de los RSP de</t>
  </si>
  <si>
    <t>Ingreso de documentos a la Delegación de la STPS de Toluca, para dar cumplimiento al servicio.</t>
  </si>
  <si>
    <t>Contribuye al alcance de la meta financiera del proyecto.</t>
  </si>
  <si>
    <t>JOSE ANTONIO</t>
  </si>
  <si>
    <t>LEDESMA</t>
  </si>
  <si>
    <t>SQ2100680</t>
  </si>
  <si>
    <t>CQ2100605</t>
  </si>
  <si>
    <t>030048Alimentos NacionalesCQ21</t>
  </si>
  <si>
    <t>Transporte de ventilador a oficinas de CONACYT</t>
  </si>
  <si>
    <t>Transporte y entrega de ventilador.</t>
  </si>
  <si>
    <t>Se recibió el ventilador en oficinas de CONACYT</t>
  </si>
  <si>
    <t>Gestión Institucional.</t>
  </si>
  <si>
    <t>SQ2100800</t>
  </si>
  <si>
    <t>TRASLADO A SEDE CIDESI EDO. DE MÉXICO PARA RECOLECCIÓN DE MATERIAL UTILIZADO EN LA PREPARACIÓN DE LOS VENTILADORES ENVIADOS A CUBA PARA TRASLADO Y ENTREGA EN SEDE QRO.</t>
  </si>
  <si>
    <t>CQ2100737</t>
  </si>
  <si>
    <t>Se cancelo</t>
  </si>
  <si>
    <t>--</t>
  </si>
  <si>
    <t>SQ2100808</t>
  </si>
  <si>
    <t>Visita a Sede CIDESI Nuevo León</t>
  </si>
  <si>
    <t>CQ2100812</t>
  </si>
  <si>
    <t>Visita a sede para revisión de proyectos</t>
  </si>
  <si>
    <t>Reunión con compañeros para revisión de proyectos</t>
  </si>
  <si>
    <t>Conocimiento de posibles proyectos para colaboración</t>
  </si>
  <si>
    <t>030048Hospedaje NacionalCQ2100</t>
  </si>
  <si>
    <t>EFRAIN</t>
  </si>
  <si>
    <t>CASAS</t>
  </si>
  <si>
    <t>SQ2100704</t>
  </si>
  <si>
    <t>Inspección en Mission Hills</t>
  </si>
  <si>
    <t>CQ2100625</t>
  </si>
  <si>
    <t>100009Alimentos NacionalesCQ21</t>
  </si>
  <si>
    <t>Inspeccion de dos recimpientes sujetos a presíon mediante Líquidos penetrantes, ultrasonido y analisis quimico en Mission Hills.</t>
  </si>
  <si>
    <t>Inspección realizada con exito</t>
  </si>
  <si>
    <t>Contribuir a la facturación del proyecto QS0594 - Mission Hills 2021</t>
  </si>
  <si>
    <t>SQ2100809</t>
  </si>
  <si>
    <t>Inspección en cartones ponderosa</t>
  </si>
  <si>
    <t>CQ2100724</t>
  </si>
  <si>
    <t>Inspección de caldera mediante medición de espesores en cartones ponderosa.</t>
  </si>
  <si>
    <t>Inspección realizada con éxito</t>
  </si>
  <si>
    <t>Contribuir a la facturación del proyecto QSO592 - INSPECCION NO DESTRUTIVA 2021</t>
  </si>
  <si>
    <t>SQ2100854</t>
  </si>
  <si>
    <t>Inspección en Mission hills.</t>
  </si>
  <si>
    <t>CQ2100778</t>
  </si>
  <si>
    <t xml:space="preserve">Inspección de recipientes sujetos a presión en Mission Hills.   </t>
  </si>
  <si>
    <t>Inspección de recipientes sujetos a presión mediante Medición de espesores en Mission Hills. .</t>
  </si>
  <si>
    <t xml:space="preserve">Inspección realizada con Éxito. </t>
  </si>
  <si>
    <t>Contribuir a la facturación del proyecto 000QS0594 – MISSION HILLS 2021</t>
  </si>
  <si>
    <t>SQ2100858</t>
  </si>
  <si>
    <t>Inspección en Mission Hills.</t>
  </si>
  <si>
    <t>CQ2100780</t>
  </si>
  <si>
    <t>Inspección de recipientes sujetos a presión en Mission Hills.</t>
  </si>
  <si>
    <t xml:space="preserve">Inspección de recipientes sujetos a presión mediante Medición de espesores en Mission Hills. .  </t>
  </si>
  <si>
    <t>Inspección realizada con Éxito.</t>
  </si>
  <si>
    <t>SQ2100879</t>
  </si>
  <si>
    <t>CQ2100781</t>
  </si>
  <si>
    <t>Inspección de recipientes sujetos a presión mediante Medición de espesores en Mission Hills.</t>
  </si>
  <si>
    <t>SQ2100886</t>
  </si>
  <si>
    <t>CQ2100782</t>
  </si>
  <si>
    <t>SQ2100895</t>
  </si>
  <si>
    <t>Inspección en Kaltex</t>
  </si>
  <si>
    <t>CQ2100814</t>
  </si>
  <si>
    <t>Inspección de rodillos en kaltex Tepeji hgo.</t>
  </si>
  <si>
    <t>Inspección de rodillos mediante medición de espesores, líquidos penetrantes, partículas magnéticas en kaltex Tepeji hgo.</t>
  </si>
  <si>
    <t xml:space="preserve">Contribuir a la facturación del proyecto 000QS0593 – INSPECCION RSP NOM-020-STPS 20    </t>
  </si>
  <si>
    <t>SQ2100897</t>
  </si>
  <si>
    <t>Inspección en Kaltex.</t>
  </si>
  <si>
    <t>CQ2100815</t>
  </si>
  <si>
    <t>SQ2100914</t>
  </si>
  <si>
    <t>Inspección en mission hills.</t>
  </si>
  <si>
    <t>CQ2100833</t>
  </si>
  <si>
    <t>SQ2100911</t>
  </si>
  <si>
    <t>Inspección en Kaltex tepeji del rio.</t>
  </si>
  <si>
    <t>CQ2100834</t>
  </si>
  <si>
    <t>SQ2100939</t>
  </si>
  <si>
    <t>Inspeccion en Kaltex.</t>
  </si>
  <si>
    <t>CQ2100835</t>
  </si>
  <si>
    <t xml:space="preserve">Inspección de rodillos mediante medición de espesores, líquidos penetrantes, partículas magnéticas en kaltex Tepeji hgo. .  </t>
  </si>
  <si>
    <t>Contribuir a la facturación del proyecto 000QS0593 – INSPECCION RSP NOM-020-STPS 20</t>
  </si>
  <si>
    <t>SQ2100949</t>
  </si>
  <si>
    <t>CQ2100863</t>
  </si>
  <si>
    <t xml:space="preserve">Contribuir a la facturación del proyecto 000QS0593 – INSPECCION RSP NOM-020-STPS 20     </t>
  </si>
  <si>
    <t>SQ2100958</t>
  </si>
  <si>
    <t>CQ2100871</t>
  </si>
  <si>
    <t>SQ2100981</t>
  </si>
  <si>
    <t>CQ2100888</t>
  </si>
  <si>
    <t>SQ2100991</t>
  </si>
  <si>
    <t>Inspeccion en Kaltex</t>
  </si>
  <si>
    <t>CQ2100889</t>
  </si>
  <si>
    <t>GERENCIA SEDE ESTADO DE MÉXICO</t>
  </si>
  <si>
    <t>ALFREDO</t>
  </si>
  <si>
    <t>CANTO</t>
  </si>
  <si>
    <t>SE2100016</t>
  </si>
  <si>
    <t>Levantamiento tecnico para oportunidad de proyecto</t>
  </si>
  <si>
    <t>PEÑA CASTILLA KATHERINE</t>
  </si>
  <si>
    <t>ESTADO DE MEXICO</t>
  </si>
  <si>
    <t>CUERNAVACA</t>
  </si>
  <si>
    <t>CE2100014</t>
  </si>
  <si>
    <t>100028Alimentos NacionalesCE21</t>
  </si>
  <si>
    <t>Levantamiento tecnico en la empresa Aguila Ammunition para evaluar oportunidad de proyecto</t>
  </si>
  <si>
    <t>Visita al area de manufactura de pellets de plomo, revision de necesidades con el personal a cargo del area</t>
  </si>
  <si>
    <t>Se obtuvo informacion sobre los procesos que tienen deficiencias</t>
  </si>
  <si>
    <t>Evaluacion del proceso de fabricacion de pellets de plomo</t>
  </si>
  <si>
    <t>SE2100030</t>
  </si>
  <si>
    <t>Asistencia a FAMEX 2021, recepcion de convenio y ajuste de entregables</t>
  </si>
  <si>
    <t>CE2100023</t>
  </si>
  <si>
    <t>Recepcion de convenio de colaboracion del proyecto y entrega de documentos de diseño</t>
  </si>
  <si>
    <t>Se comenzo con la revisoin de los documentos entregables del mes de Agosto comprometidos para el pago de la primera parte del proyecto. Se hicieorn ajustes a la estructura documental de acuerdo a la solicitud del cliente, y se elaboraron los cambios paralos 5 paquetes de solucion tecnologica. Se visito de manera breve los stands de la Feria Aeroespacial Mexicana (FAMEX) para evaluar posibles oportunidades de proyecto, proveedores y conceptos para inspirar la solucion del proyecto, en compañia del equipo de trabajo de la FAM. Finalmente se recibio el convenio del proyecto con las firmas de parte del cliente.</t>
  </si>
  <si>
    <t>Se revisaron y ajustaron los paquetes de solucion tecnologica de acuerdo a la solicitud del cliente. Se recibio el convenio con las firmas de la FAM</t>
  </si>
  <si>
    <t>Redaccion de los reportes de paquetes de solucion, recopilacion de anexos. Visita a la FAMEX</t>
  </si>
  <si>
    <t>DIRECCIÓN DE TECNOLOGÍAS ESTRATÉGICAS Y DEL POSGRADO</t>
  </si>
  <si>
    <t>DIRECCIÓN DE TECNOLOGÍAS ESTRATÉGICAS Y DEL POSGRADO staff</t>
  </si>
  <si>
    <t>VICTOR MIGUEL</t>
  </si>
  <si>
    <t>VILLASANA</t>
  </si>
  <si>
    <t>SQ2100903</t>
  </si>
  <si>
    <t>Instrumentacion de sensores de nivel al sistema de pre enfriamiento</t>
  </si>
  <si>
    <t>CQ2100861</t>
  </si>
  <si>
    <t>100051Alimentos NacionalesCQ21</t>
  </si>
  <si>
    <t>Modificacion e instalacion de sensores de Temperatura y nivel asi como la instalacion de guardas para la proteccion de sensores en la operacion de las tinas</t>
  </si>
  <si>
    <t>Se removieron los sensores en un inicio instalados asi como el comienzo de calibracion de los mismos y se empezaron las modificaciones correspondientes para la instalacion de los sensores nuevos</t>
  </si>
  <si>
    <t>Avance en la instalacion y preparadas las tinas para su instalacion de</t>
  </si>
  <si>
    <t>Avance en la ultima actividad para entrega y cierre del proyecto</t>
  </si>
  <si>
    <t>SQ2100971</t>
  </si>
  <si>
    <t>Instalacion y calibracion de sensores Temperatura y nivel</t>
  </si>
  <si>
    <t>CQ2100925</t>
  </si>
  <si>
    <t>Instalacion de sensores de nivel, guardas de proteccion asi como la calibracion del plc del sistema automatico para el llenado de las mismas</t>
  </si>
  <si>
    <t>Barrenado en los angulos de las guias de las tinas asi como la instalacion de sensores de nivel y guardas de proteccion posteriormente se ajusto el sistema automatico del llenado y vaciado de las tinas de pre enfriamiento</t>
  </si>
  <si>
    <t>Instalacion y funcionamiento correcto del sistema de pre enfriamiento en automatico</t>
  </si>
  <si>
    <t>Entregables compromentidos terminados</t>
  </si>
  <si>
    <t>SQ2101026</t>
  </si>
  <si>
    <t>Vista a empresa BEDACOM</t>
  </si>
  <si>
    <t>CQ2100938</t>
  </si>
  <si>
    <t>Revision de PLC dañado asi como acuerdo con gente responsable de proyecto</t>
  </si>
  <si>
    <t>Se tuvo una reunion con gerente de planta asi como encargado de proyecto para la busqueda de una solucion a PLC dañado asi como la revison del componente.</t>
  </si>
  <si>
    <t>Revision y reunion tema PLC dañado</t>
  </si>
  <si>
    <t>Respuesta a cliente con requerimiento de PLC dañado.</t>
  </si>
  <si>
    <t>JOSE ROBERTO</t>
  </si>
  <si>
    <t>MEJIA</t>
  </si>
  <si>
    <t>SQ2100523</t>
  </si>
  <si>
    <t>SERVICIO DE INSPECCION POR MEDIO DE E.N.D. EMPRESA MAZDA</t>
  </si>
  <si>
    <t>CQ2100460</t>
  </si>
  <si>
    <t>100105Alimentos NacionalesCQ21</t>
  </si>
  <si>
    <t>SERVICIO DE INSPECCION POR MEDIO DE ENSAYOS NO DESTRUCTIVOS A RECIPIENTES SUJETOS A PRESION EN EMPRESA MAZDA</t>
  </si>
  <si>
    <t>INSPECCION POR MEDIO DE ENSAYOS NO DESTRUCTIVOS A RECIPIENTES SUJETOS A PRESION EN EMPRESA MAZDA</t>
  </si>
  <si>
    <t>SQ2100540</t>
  </si>
  <si>
    <t>SERVICIO DE INSPECCION EN EMPRESA MAZDA</t>
  </si>
  <si>
    <t>CQ2100461</t>
  </si>
  <si>
    <t>SQ2100541</t>
  </si>
  <si>
    <t>CQ2100466</t>
  </si>
  <si>
    <t>SQ2100627</t>
  </si>
  <si>
    <t>CQ2100553</t>
  </si>
  <si>
    <t>100105Hospedaje NacionalCQ2100</t>
  </si>
  <si>
    <t>SERVICIO DE INSPECCION POR MEDIO DE ENSAYOS NO DESTRUCTIVOS A RECIPIENTES SUJETOS A PRESION EN EMPRESA MAZDA, GUANAJUATO</t>
  </si>
  <si>
    <t>SQ2100671</t>
  </si>
  <si>
    <t>SERVICIO DE INSPECCION EN EMPRESA CARTONES PONDEROSA</t>
  </si>
  <si>
    <t>CQ2100569</t>
  </si>
  <si>
    <t>SERVICIO DE INSPECCION POR MEDIO DE ENSAYOS NO DESTRUCTIVOS A RODILLOS DE SERVICIO EN EMPRESA CARTONES PONDEROSA</t>
  </si>
  <si>
    <t>INSPECCION POR MEDIO DE ENSAYOS NO DESTRUCTIVOS A RODILLOS DE SERVICIO EN EMPRESA CARTONES PONDEROSA</t>
  </si>
  <si>
    <t>SQ2100707</t>
  </si>
  <si>
    <t>SERVICIO DE INSPECCION EN EMPRESA KALTEX, AMEALCO</t>
  </si>
  <si>
    <t>CQ2100621</t>
  </si>
  <si>
    <t>SERVICIO DE INSPECCION POR MEDIO DE ENSAYOS NO DESTRUCTIVOS Y LEVANTAMIENTO TECNICO A RECIPIENTES SUJETOS A PRESION EN EMPRESA KALTEX, AMEALCO</t>
  </si>
  <si>
    <t>SQ2100721</t>
  </si>
  <si>
    <t>ENTREGA RECEPCION DE DOCUMENTACION EN STPS ESTADO DE  MEXICO, PACHUCA. VISITA TECNICA A EMPRESA MAZDA MOTORS, GUANAJUATO</t>
  </si>
  <si>
    <t>CQ2100656</t>
  </si>
  <si>
    <t>ENTREGA RECEPCION DE DOCUMENTACIÓN ANTE STPS DEL ESTADO DE HIDALGO, ESTADO DE MEXICO. VISITA TÉCNICA Y ENTREGA RECEPCION DE DUCUMENTACION EN EMPRESA CAJAPLAX, APAN, HIDALGO; KALTEX, JILOTEPEC, EDO DE MEXICO; MISSION HILLS, SAN JOSE I., GTO.</t>
  </si>
  <si>
    <t>100105CasetasCQ2100656</t>
  </si>
  <si>
    <t>SQ2100894</t>
  </si>
  <si>
    <t>SERVICIO DE INSPECCION EN EMPRESA KALTEX</t>
  </si>
  <si>
    <t>CQ2100810</t>
  </si>
  <si>
    <t>SERVICIO DE INSPECCION POR MEDIO DE ENSAYOS NO DESTRUCTIVOS A RECIPIENTES SUJETOS A PRESION EN EMPRESA KALTEX, TEPEJI</t>
  </si>
  <si>
    <t>SQ2100896</t>
  </si>
  <si>
    <t>CQ2100811</t>
  </si>
  <si>
    <t>SQ2100912</t>
  </si>
  <si>
    <t>CQ2100832</t>
  </si>
  <si>
    <t>SERVICO DE INSPECCION POR MEDIO DE ENSAYOS NO DESTRUCTIVOS A RECIPIENTES SUJETOS A PRESION EN EMPRESA KALTEX, TEPEJI</t>
  </si>
  <si>
    <t>INSPECCION POR MEDIO DE ENSAYOS NO DESTRUCTIVOS A RECIPIENTES SUJETOS A PRESION EN EMPRESA KALTEX, TEPEJI</t>
  </si>
  <si>
    <t>SQ2100940</t>
  </si>
  <si>
    <t>SERVCIO DE INSPECCION EN EMPRESA KALTEX</t>
  </si>
  <si>
    <t>CQ2100854</t>
  </si>
  <si>
    <t>SQ2100947</t>
  </si>
  <si>
    <t>SERVICO DE INSPECCION ENEMPRESA KALTEX</t>
  </si>
  <si>
    <t>CQ2100864</t>
  </si>
  <si>
    <t>SQ2100961</t>
  </si>
  <si>
    <t>CQ2100872</t>
  </si>
  <si>
    <t>SERVICIO DE INSPECCION POR MEDIO DE ENSAYOS NO DESTRUCTIVOS A RECIPIENTES SUJETOS A PRESION EN EMPRESA KALTEX, TEPEJI DEL RIO</t>
  </si>
  <si>
    <t>INSPECCION POR MEDIO DE ENSAYOS NO DESTRUCTIVOS A RECIPIENTES SUJETOS A PRESION EN EMPRESA KALTEX, TEPEJI DEL RIO</t>
  </si>
  <si>
    <t>SQ2100977</t>
  </si>
  <si>
    <t>CQ2100883</t>
  </si>
  <si>
    <t>SQ2100993</t>
  </si>
  <si>
    <t>CQ2100894</t>
  </si>
  <si>
    <t xml:space="preserve">SERVICIO DE INSPECCION POR MEDIO DE ENSAYOS NO DESTRUCTIVOS A RECIPIENTES SUJETOS A PRESION EN EMPRESA KALTEX, TEPEJI </t>
  </si>
  <si>
    <t xml:space="preserve">INSPECCION POR MEDIO DE ENSAYOS NO DESTRUCTIVOS A RECIPIENTES SUJETOS A PRESION EN EMPRESA KALTEX, TEPEJI </t>
  </si>
  <si>
    <t>JAVIER</t>
  </si>
  <si>
    <t>CANTERA</t>
  </si>
  <si>
    <t>SQ2100526</t>
  </si>
  <si>
    <t>SERVICIO DE INSPECCION DE RECIPIENTES SUJETOS A PRESION EN LA EMPRESA MAZDA SALAMANCA</t>
  </si>
  <si>
    <t>CQ2100473</t>
  </si>
  <si>
    <t>100148Alimentos NacionalesCQ21</t>
  </si>
  <si>
    <t>INSPECCION MAZDA</t>
  </si>
  <si>
    <t>INSPECCION POR MEDICION DE ESPESORE, IM E IP</t>
  </si>
  <si>
    <t>SE INSPECCIONARON RSP</t>
  </si>
  <si>
    <t>NOM 020 2021</t>
  </si>
  <si>
    <t>SQ2100532</t>
  </si>
  <si>
    <t>CQ2100474</t>
  </si>
  <si>
    <t>INSPECCION RSP EN MAZDA</t>
  </si>
  <si>
    <t>SQ2100543</t>
  </si>
  <si>
    <t>CQ2100487</t>
  </si>
  <si>
    <t>SERVICIO DE INSPECCION MAZDA</t>
  </si>
  <si>
    <t>INSPECCION POR MEDICION DE ESPESORES Y PARTICULAS MAGNETICAS</t>
  </si>
  <si>
    <t>SQ2100550</t>
  </si>
  <si>
    <t>CQ2100488</t>
  </si>
  <si>
    <t>SQ2100566</t>
  </si>
  <si>
    <t>SERVICIO DE INSPECCION DE RSP EN LA EMPRESA MAZDA SALAMANCA</t>
  </si>
  <si>
    <t>CQ2100497</t>
  </si>
  <si>
    <t>SERVICIO DE INSPECCION EN MAZDA</t>
  </si>
  <si>
    <t>INSPECCION DE RSP POR PARTICULAS MAGNETICAS, LIQUIDOS  Y MEDICION DE ESPESORES</t>
  </si>
  <si>
    <t>SQ2100623</t>
  </si>
  <si>
    <t>SERVICIO DE INSPECCION DE RSP EN LA EMPRESA MAZDA SALAMANCA GTO</t>
  </si>
  <si>
    <t>CQ2100565</t>
  </si>
  <si>
    <t>INSPECCION DE RSP POR MEDICION DE ESPESORES Y LIQUIDOS PENETRANTES</t>
  </si>
  <si>
    <t>SE INSPECCIONARON RSP DE MAZDA</t>
  </si>
  <si>
    <t>100148Hospedaje NacionalCQ2100</t>
  </si>
  <si>
    <t>SQ2100708</t>
  </si>
  <si>
    <t>SERVICIO DE INSPECCIÓN DE 3 RSP EN KALTEX PLANTA AMEALCO</t>
  </si>
  <si>
    <t>CQ2100628</t>
  </si>
  <si>
    <t>SERVICIO DE INSPECCION DE 3 TANQUES PULMON EN KALTEX AMEALCO</t>
  </si>
  <si>
    <t>INSPECCION POR PARTICULAS MAGNETICAS Y MEDICION DE ESPESORES DE 3 RSP</t>
  </si>
  <si>
    <t>SE INSPECCIONARON 3 TANQUES</t>
  </si>
  <si>
    <t>NOM 020  2021</t>
  </si>
  <si>
    <t>SQ2100725</t>
  </si>
  <si>
    <t>SERVICIO DE INSPECCION DE CARRO TANQUE EN LA EMPRESA UTLX GUANAJUATO</t>
  </si>
  <si>
    <t>CQ2100641</t>
  </si>
  <si>
    <t>SERVICIO DE INSPECCION DE CARRO TANQUE EN UTLX</t>
  </si>
  <si>
    <t>SE INSPECCIONO POR PARTICULAS MAGNETICAS</t>
  </si>
  <si>
    <t>SE INSPECCIONÓ CARRO TANQUE</t>
  </si>
  <si>
    <t>ENSAYOS NO DESTRUCTIVOS 2021</t>
  </si>
  <si>
    <t>SQ2100851</t>
  </si>
  <si>
    <t>SERVICIO DE INSPECCION POR MEDICION DE ESPESORES A TANQUES DE ALMACENAMIENTO EN MISSION HILLS</t>
  </si>
  <si>
    <t>CQ2100788</t>
  </si>
  <si>
    <t>SERVICIO DE MEDICION DE ESPESORES A TANQUES</t>
  </si>
  <si>
    <t>MEDICION DE ESPESORES POR UT EN TANQUES DE ALMACENAMIENTO</t>
  </si>
  <si>
    <t>SE INSPECCIONARON TANQUES</t>
  </si>
  <si>
    <t>MISSION HILLS 2021</t>
  </si>
  <si>
    <t>SQ2100859</t>
  </si>
  <si>
    <t>CQ2100796</t>
  </si>
  <si>
    <t>SERVICIO DE INSPECCION POR MEDICION DE ESPESORES A TANQUES</t>
  </si>
  <si>
    <t>SERVICIO DE INSPECCION POR ME DE TANQUES DE ALMACENAMIENTO</t>
  </si>
  <si>
    <t>SE INSPECCIONARON 2 TANQUES</t>
  </si>
  <si>
    <t>SQ2100878</t>
  </si>
  <si>
    <t>CQ2100797</t>
  </si>
  <si>
    <t>SERVICIO DE MEDICION DE ESPESORES DE TANQUES</t>
  </si>
  <si>
    <t>SERVICIO DE MEDICION DE ESPESORES DE TANQUES DE ALACENAMIENTO</t>
  </si>
  <si>
    <t>SE MIDIERON 3 TANQUES</t>
  </si>
  <si>
    <t>SQ2100887</t>
  </si>
  <si>
    <t>CQ2100798</t>
  </si>
  <si>
    <t>SERVICIO DE INSPECCION POR MEDICION DE ESPESORES</t>
  </si>
  <si>
    <t>SERVICIO DE INSPECCION POR MEDICION DE ESPESORES DE TANQUES DE ALMACENAMIENTO</t>
  </si>
  <si>
    <t>SQ2100913</t>
  </si>
  <si>
    <t>SERVICIO DE INSPECCION POR MEDICION DE ESPESORES A TANQUES DE AGUA EN MISSION HILLS</t>
  </si>
  <si>
    <t>CQ2100847</t>
  </si>
  <si>
    <t>SERVICIO DE MEDICION DE ESPESORES DE TANQUE DE AGUA DESMINERALIZADA T-400 EN MISSION HILLS</t>
  </si>
  <si>
    <t>SERVICIO DE INSPECCION POR ME DE TANQUE T-400</t>
  </si>
  <si>
    <t>SE INSPECCIONÓ TANQUE</t>
  </si>
  <si>
    <t>GERARDO</t>
  </si>
  <si>
    <t>SQ2100605</t>
  </si>
  <si>
    <t>Visita al Hospital General de Tlahuac en la Cd. de México para realizar la actualización y mantenimiento de 48 ventiladores, llenado de bitacora de mantenimiento, así como apoyo en la capactiación.</t>
  </si>
  <si>
    <t>CQ2100666</t>
  </si>
  <si>
    <t>100155Alimentos NacionalesCQ21</t>
  </si>
  <si>
    <t>100155Hospedaje NacionalCQ2100</t>
  </si>
  <si>
    <t>SQ2100632</t>
  </si>
  <si>
    <t>CQ2100568</t>
  </si>
  <si>
    <t>100155EstacionamientoCQ2100568</t>
  </si>
  <si>
    <t>SQ2100645</t>
  </si>
  <si>
    <t>TRASLADO AL ALMACÉN GENERAL DEL ISSSTE EN LA CD. DE MÉXICO PARA ATENDER LAS INTERVENCIONES PARA LOS VENTILADORES  Ehécatl 4T</t>
  </si>
  <si>
    <t>CQ2100573</t>
  </si>
  <si>
    <t>100155EstacionamientoCQ2100573</t>
  </si>
  <si>
    <t>SQ2100682</t>
  </si>
  <si>
    <t>CQ2100606</t>
  </si>
  <si>
    <t>TRASLADO A CONACYT EN LA CD. DE MÉXICO PARA ENTREGA DE VENTILADOR PARA EVENTO CON LA DELEGACIÓN DE GUATEMALA</t>
  </si>
  <si>
    <t>SQ2100770</t>
  </si>
  <si>
    <t>Realizar servicio de apertura, instalación, validación y capacitación de 14 ventiladores E4T, en Tepic, Nayarit, en el ISSSTE Hospital General Asociación Pública. Se realizará escala en Puerto Vallarta, Jalisco.</t>
  </si>
  <si>
    <t>CQ2100721</t>
  </si>
  <si>
    <t>SQ2100779</t>
  </si>
  <si>
    <t>Realizar servicio de apertura, instalación, validación y capacitación de ventiladores E4T, en Puerto Vallarta Jalisco, se realizará escala en Cd. Guzmán, Jalisco.</t>
  </si>
  <si>
    <t>PUERTO VALLARTA</t>
  </si>
  <si>
    <t>CQ2100723</t>
  </si>
  <si>
    <t>SQ2100802</t>
  </si>
  <si>
    <t>Realizar servicio de apertura, instalación, validación y capacitación de ventiladores E4T, en Cd. Guzmán, Jalisco y Tepic Nayarit.</t>
  </si>
  <si>
    <t>CQ2100722</t>
  </si>
  <si>
    <t>100155AutobúsCQ2100722</t>
  </si>
  <si>
    <t>SQ2100848</t>
  </si>
  <si>
    <t>Visita al Hospital General José María Morelos y Pavón, en la Cd. de México, para revisión de ventilador.</t>
  </si>
  <si>
    <t>CQ2100766</t>
  </si>
  <si>
    <t>SQ2100873</t>
  </si>
  <si>
    <t>CQ2100827</t>
  </si>
  <si>
    <t>SQ2100975</t>
  </si>
  <si>
    <t>Visita al Hospital General José María Morelos y Pavón para concluir las actualizaciones de extensiones eléctricas, un monitor dañado y recolección de documentación.</t>
  </si>
  <si>
    <t>CQ2100904</t>
  </si>
  <si>
    <t>Soporte técnico en ventiladores y cambio de extesiones eléctricas.</t>
  </si>
  <si>
    <t>Se cambiaron extensiones de 2 ventiladores y se brindo soporte en piso, además de firmas pendientes para entrega de documentación.</t>
  </si>
  <si>
    <t>De acuerdo con lo realizado</t>
  </si>
  <si>
    <t>LIZAMA</t>
  </si>
  <si>
    <t>GARDUÑO</t>
  </si>
  <si>
    <t>SE2100010</t>
  </si>
  <si>
    <t>TRANSPORTAR AL ALMACEN GENERAL DEL ISSSTE EN LA CD. DE MÉXICO EQUIPO DE VENTILARORES.</t>
  </si>
  <si>
    <t>CE2100011</t>
  </si>
  <si>
    <t>100166Alimentos NacionalesCE21</t>
  </si>
  <si>
    <t>Realizar el habilitado y adecuación de 50 ventiladores para ser enviados a CUBA</t>
  </si>
  <si>
    <t>Desembalaje de ventiladores, modificación de conexiones, etiquetado de ventiladores, ajuste de tarima, calibración de mezclador, embalaje de ventiladores.</t>
  </si>
  <si>
    <t>Se realizó el habilitado y adecuación de 50 ventiladores para ser enviados a CUBA</t>
  </si>
  <si>
    <t>SE2100014</t>
  </si>
  <si>
    <t>CE2100012</t>
  </si>
  <si>
    <t>Realizar el habilitado y adecuación de 100 ventiladores para ser enviados a CUBA</t>
  </si>
  <si>
    <t>Se realizó el habilitado y adecuación de 100 ventiladores para ser enviados a CUBA</t>
  </si>
  <si>
    <t>SE2100020</t>
  </si>
  <si>
    <t>Traslado a la Ciudad de Mexico para embalaje de ventiladores y traslado a la ciudad de Quereatro para Atención a aplicación de prueba PCR</t>
  </si>
  <si>
    <t>CE2100018</t>
  </si>
  <si>
    <t>100166Hospedaje NacionalCE2100</t>
  </si>
  <si>
    <t xml:space="preserve">Realizar el  embalaje de 18 respiradores en el almacén central del ISSSTE en CDMX y posterior a ello se viajar para atender la prueba PCR para covid en las instalaciones de CIDESI Qro. </t>
  </si>
  <si>
    <t>Se realizó el embalaje de 18 respiradores en el almacén central del ISSSTE en CDMX y posterior a ello se viajó para atender la prueba PCR para covid en las instalaciones de CIDESI Qro.</t>
  </si>
  <si>
    <t>Embalaje de 18 ventiladores listos para ser transportados, toma de prueba PCR exitosa</t>
  </si>
  <si>
    <t>MORENO</t>
  </si>
  <si>
    <t>SQ2100639</t>
  </si>
  <si>
    <t>Ateder servicio de calibración de equipos propiedad de nuestro Cliente ¨ GENERAL MOTORS ¨; así como  la recolección de equpos calibrados propiedad del mismo, en las Instalaciones de CIDESI, Qro., el 26 de julio del año en curso. Nota: La comisión ampara las 24h del periodo solic.</t>
  </si>
  <si>
    <t>CQ2100566</t>
  </si>
  <si>
    <t>100187Alimentos NacionalesCQ21</t>
  </si>
  <si>
    <t>RECOLECCIÓN DE EQUIPOS DE MEDICIÓN CON NUESTRO CLIENTE EN PLANTA MOTORES GENERAL MOTORS SILAO GTO, EL QUIPO SE TRANSPORTA PARA A INSTALACIONES DE CIDESI METROLOGÍA DIMENSIONAL ALTA EXACTITUD EN QRO. SE REALIZA LA CALIBRACIÓN DEL EQUIPO Y SE RETORNA APLANTA GM SILAO,GTO.</t>
  </si>
  <si>
    <t>SE RECOLECTA EQUIPO DE MEDICIÓN EN PLANTA GENERAL MOTORS SILAO Y SE TRANSPORTA PARA CALIBRACIÓN AL LABORATORIO DIMENSIONAL DE ALTA EXACTITUD EN LA CIUDAD DE QUERÉTARO UNA VEZ DIMENSIONADO EL EQUIPO SE RETORNA A PLANTA GENERAL MOTORS SILAO.</t>
  </si>
  <si>
    <t>SE RECOLECTA EQUIPO DE MEDICIÓN Y SE TRANSPORTA PARA REALIZAR LA CALIBRACIÓN EN LAS INSTALACIONES METROLOGÍA DIMENSIONAL ALTA EXACTITUD CIDESI QRO.</t>
  </si>
  <si>
    <t>SE CUMPLE EN TIEMPO Y FORMA COMO SE ACORDÓ CON NUESTRO CLIENTE GENERAL MOTORS.</t>
  </si>
  <si>
    <t>SQ2100699</t>
  </si>
  <si>
    <t>Ateder servicio de calibración de equipos propiedad de nuestro Cliente ¨ GENERAL MOTORS ¨; así como  la recolección de equpos calibrados propiedad del mismo, en las Instalaciones de CIDESI, Qro., los días del 06 Y 07 DE AGOSTO del año en curso. Nota: La comisión ampara las 24h del periodo solic.</t>
  </si>
  <si>
    <t>CQ2100645</t>
  </si>
  <si>
    <t>RECOLECCIÓN DE EQUIPOS DE MEDICIÓN CON NUESTRO CLIENTE EN PLANTA MOTORES GENERAL MOTORS SILAO GTO, EL QUIPO SE TRANSPORTA PARA A INSTALACIONES DE CIDESI METROLOGÍA DIMENSIONAL ALTA EXACTITUD EN QRO. SE REALIZA LA CALIBRACIÓN DEL EQUIPO Y SE RETORNA A PLANTA GM SILAO,GTO.</t>
  </si>
  <si>
    <t>SQ2100745</t>
  </si>
  <si>
    <t>Servicio de calibracion de equipos patron de nuestro cliente GM planta silao, el dia 12 de agosta del 2021.    nota: esta comicion ampara las 24 hras</t>
  </si>
  <si>
    <t>CQ2100665</t>
  </si>
  <si>
    <t xml:space="preserve">SE RECOLECTA EQUIPO DE MEDICIÓN EN PLANTA GENERAL MOTORS SILAO Y SE TRANSPORTA PARA CALIBRACIÓN AL LABORATORIO DIMENSIONAL DE ALTA EXACTITUD EN LA CIUDAD DE QUERÉTARO UNA VEZ DIMENSIONADO EL EQUIPO SE RETORNA A PLANTA GENERAL MOTORS SILAO.  </t>
  </si>
  <si>
    <t>DIRECTORA /DIRECTOR DE ADMINISTRACIÓN Y FINANZAS</t>
  </si>
  <si>
    <t>DIRECCIÓN DE ADMINISTRACIÓN Y FINANZAS</t>
  </si>
  <si>
    <t>IVONNE BERENICE</t>
  </si>
  <si>
    <t>MATA</t>
  </si>
  <si>
    <t>RAMOS</t>
  </si>
  <si>
    <t>SQ2100579</t>
  </si>
  <si>
    <t>Dirigirse al Estado de Mexico para Cambio de Representante Legal en el Registro Estatal en las Oficinas de Secretaria de Recaudacion de Tlanepantla.</t>
  </si>
  <si>
    <t>TLALNEPANTLA</t>
  </si>
  <si>
    <t>CQ2100536</t>
  </si>
  <si>
    <t>100210Alimentos NacionalesCQ21</t>
  </si>
  <si>
    <t>Exitosas.</t>
  </si>
  <si>
    <t xml:space="preserve">Se llego en tiempo y forma a la cita, se entrego la documentacion solicitada    </t>
  </si>
  <si>
    <t>para el cambio de claves</t>
  </si>
  <si>
    <t>100210EstacionamientoCQ2100536</t>
  </si>
  <si>
    <t>Transporte local - no fiscal (taxi, colectivo, etc)</t>
  </si>
  <si>
    <t>100210Transporte local - no fi</t>
  </si>
  <si>
    <t>SQ2100774</t>
  </si>
  <si>
    <t>DIRIGIRSE A LA SEDE DE ESTADO DE MEXICO PARA REVISION DE TEMAS Y PENDIENTES.</t>
  </si>
  <si>
    <t>CQ2100694</t>
  </si>
  <si>
    <t>VERIFICAR QUE LOS TEMAS REVISADOS SE LES DE ATENCION OPORTUNA, CLARA Y PRONTA RESPUESTA.</t>
  </si>
  <si>
    <t>SE VIERON VARIOS PENDIENTES DE MANTENIMIETO, RECURSOS HUMANOS, ADMINSITRATIVOS Y SUBCONTRATADOS.</t>
  </si>
  <si>
    <t>DARLE SEGUIMIENTO.</t>
  </si>
  <si>
    <t>100210EstacionamientoCQ2100694</t>
  </si>
  <si>
    <t>SQ2100816</t>
  </si>
  <si>
    <t>DIRIGIRSE A SANLUIS POTOSI A LAS INSTALACIONES DE VALEO</t>
  </si>
  <si>
    <t>CQ2100738</t>
  </si>
  <si>
    <t>DIRIGIRSE A LA CIUDAD DE MEXICO A VISITAR PROVEEDORES PARA REVISION FINANCIERA DE SISTEMAS DE TI.</t>
  </si>
  <si>
    <t>VERIFICAR CON REQUIICION LA SOLICTUD DE MONTOS  SOLICITADOS.</t>
  </si>
  <si>
    <t>SE CONFIRMO VISITA.</t>
  </si>
  <si>
    <t>PARA LA REVISION.</t>
  </si>
  <si>
    <t>SQ2100925</t>
  </si>
  <si>
    <t>Revisión de pendientes administrativos y reclutamiento de personal</t>
  </si>
  <si>
    <t>CQ2100862</t>
  </si>
  <si>
    <t xml:space="preserve">No se realizo la comisón por situaciones laborales. </t>
  </si>
  <si>
    <t>No se realizo la comisón por situaciones laborales.</t>
  </si>
  <si>
    <t>SQ2101001</t>
  </si>
  <si>
    <t>DIRIGIRSE A LA SHCP EN LA CIUDAD DE MEXICO, PARA  LA ENTREGA DE CARPETA DE JUNTA DE GOBIERNO.</t>
  </si>
  <si>
    <t>CQ2100928</t>
  </si>
  <si>
    <t>NO SE REALIZO LA COMISON</t>
  </si>
  <si>
    <t>RIGOBERTO</t>
  </si>
  <si>
    <t>SUAREZ</t>
  </si>
  <si>
    <t>SQ2100846</t>
  </si>
  <si>
    <t>Entregar el planta CONTITECH, SAN LUIS POTOSI el herramental 0546-0001-0001-220-000</t>
  </si>
  <si>
    <t>CQ2100750</t>
  </si>
  <si>
    <t>100214Alimentos NacionalesCQ21</t>
  </si>
  <si>
    <t>Se entrego en  planta CONTITECH, SAN LUIS POTOSI el herramental 0546-0001-0001-220-000 al cliente.</t>
  </si>
  <si>
    <t>CAMPOS</t>
  </si>
  <si>
    <t>CONTRERAS</t>
  </si>
  <si>
    <t>SQ2100561</t>
  </si>
  <si>
    <t>Calibración de máquina a tracción en Truper.</t>
  </si>
  <si>
    <t>CQ2100498</t>
  </si>
  <si>
    <t>100220Alimentos NacionalesCQ21</t>
  </si>
  <si>
    <t>Calibración de máquina de fuerza a tracción en Truper</t>
  </si>
  <si>
    <t>Se clibra máquina de fuerza a tracción en Truper</t>
  </si>
  <si>
    <t>SQ2100587</t>
  </si>
  <si>
    <t>Calibración de dos máquinas de medición de fuerza.</t>
  </si>
  <si>
    <t>CQ2100530</t>
  </si>
  <si>
    <t>Calibración de 2 máquinas de medición de fuerza en grupo carolina</t>
  </si>
  <si>
    <t>SQ2100673</t>
  </si>
  <si>
    <t>Calibración de resiliometro y máquina de ensayos en goodyear slp.</t>
  </si>
  <si>
    <t>CQ2100582</t>
  </si>
  <si>
    <t>Calibración de 3 equipos de fuerza en goodyear</t>
  </si>
  <si>
    <t>Se calibracn 3 equipos de fuerza en goodyear</t>
  </si>
  <si>
    <t>SQ2100696</t>
  </si>
  <si>
    <t>Calibración de 14 equipos en Thyssenkrupp</t>
  </si>
  <si>
    <t>CQ2100651</t>
  </si>
  <si>
    <t>Calibración de 14 equipos de fuerza en ThyssenKrupp</t>
  </si>
  <si>
    <t>Se calibran 18 equipos de fuerza en sitio</t>
  </si>
  <si>
    <t>100220Hospedaje NacionalCQ2100</t>
  </si>
  <si>
    <t>SQ2100931</t>
  </si>
  <si>
    <t>Calibración de equipos de fuerza y analizadores en GM toluca.</t>
  </si>
  <si>
    <t>CQ2100886</t>
  </si>
  <si>
    <t>Calibración de 5 máquinas de ensayo en Profeco Laboratorio.</t>
  </si>
  <si>
    <t>JORGE ARMANDO</t>
  </si>
  <si>
    <t>MELCHOR</t>
  </si>
  <si>
    <t>SQ2100732</t>
  </si>
  <si>
    <t>Visita técnica a la empresa Kaltex SJR para seguimiento de trámite de rsp´s</t>
  </si>
  <si>
    <t>CQ2100646</t>
  </si>
  <si>
    <t>100233Alimentos NacionalesCQ21</t>
  </si>
  <si>
    <t>Visita técnica a la empresa Manufacturas Kaltex</t>
  </si>
  <si>
    <t>Verificación de rsp´s para trámite ante la NOM-020-STPS-2011</t>
  </si>
  <si>
    <t>Avance en el desarrollo del proyecto del trámite de los rsp´s</t>
  </si>
  <si>
    <t>Se colaboró con el seguimiento del proyecto</t>
  </si>
  <si>
    <t>SQ2100871</t>
  </si>
  <si>
    <t>Servicio de verificación de rsp´s en la empresa Manufacturas Kaltex</t>
  </si>
  <si>
    <t>CQ2100803</t>
  </si>
  <si>
    <t>Servicio de inspección y verificación en la empresa manufacturas kaltex</t>
  </si>
  <si>
    <t>Se verificó el cumplimiento de la NOM-020 para los equipos.</t>
  </si>
  <si>
    <t>Se realizó la inspección de 14 equipos</t>
  </si>
  <si>
    <t>SQ2100891</t>
  </si>
  <si>
    <t>Servicio de inspección a la empresa manufacturas kaltex</t>
  </si>
  <si>
    <t>CQ2100813</t>
  </si>
  <si>
    <t>Servicio de verificación e inspección a equipos de la empresa manufacturas kaltex</t>
  </si>
  <si>
    <t>Se realizaron las inspecciones a los equipos</t>
  </si>
  <si>
    <t>Se colaboró con el seguimineto del proyecto</t>
  </si>
  <si>
    <t>SQ2100957</t>
  </si>
  <si>
    <t>Serivico de inspección a rsp´s de la empresa manufacturas kaltex</t>
  </si>
  <si>
    <t>CQ2100878</t>
  </si>
  <si>
    <t>Servicio de inspección a rsp´s de la empresa manufacturas kaltex</t>
  </si>
  <si>
    <t>Se revisaron los equipos programados mediante ensayos no destructivos</t>
  </si>
  <si>
    <t>Se revisaron los equipos programados</t>
  </si>
  <si>
    <t>SQ2100980</t>
  </si>
  <si>
    <t>CQ2100890</t>
  </si>
  <si>
    <t>Servicio de inspección a rsp´s de la empresa manufacturas kaltex.</t>
  </si>
  <si>
    <t>Se inspeccionaron los equipos programados mediante ensayos no destructivos.</t>
  </si>
  <si>
    <t>Se inspeccionaron los equipos programados.</t>
  </si>
  <si>
    <t>Se colaboró con el desarrollo del proyecto.</t>
  </si>
  <si>
    <t>NOE AMIR</t>
  </si>
  <si>
    <t>OLIVARES</t>
  </si>
  <si>
    <t>SQ2100683</t>
  </si>
  <si>
    <t>CQ2100612</t>
  </si>
  <si>
    <t>100237Alimentos NacionalesCQ21</t>
  </si>
  <si>
    <t>*Traslado a CONACYT y verificación de estado de ventilador Ehécatl *Apoyo en aclaración de dudas sobre ventilador Ehécatl *Traslado de ventilador Ehécatl a CIDESI *Seguimiento a continuidad Escuela de ventilación</t>
  </si>
  <si>
    <t>Se realizó el apoyo ante dudas a la delegación de Guatemala sobre el ventilador Ehécatl 4T y el desarrollo del proyecto</t>
  </si>
  <si>
    <t>*Apoyo en aclaración de dudas sobre ventilador Ehécatl *Traslado de ventilador Ehécatl a CIDESI *Seguimiento a continuidad Escuela de ventilación</t>
  </si>
  <si>
    <t>SQ2100738</t>
  </si>
  <si>
    <t>CQ2100720</t>
  </si>
  <si>
    <t>Pruebas en mar del glider prototipo CIDESI para el Consorcio CIGOM.</t>
  </si>
  <si>
    <t>BAQ210045</t>
  </si>
  <si>
    <t>Pruebas y experimentos en mar del glider prototipo en Ensenada, BC. Estas pruebas en mar son necesarias para cerrar el entregable. Nota: el Precio de $ 7,356.0 incluye 2 boletos de avión: -Vuelo Salida: Cd de México a Tijuana el 15 de agosto 2021 -Vuelo Regreso: Tijuana a Cd de México el 20 de a</t>
  </si>
  <si>
    <t>CAQ210028</t>
  </si>
  <si>
    <t>100237Boletos de Avión Naciona</t>
  </si>
  <si>
    <t>pruebas en ambiente relevante (pruebas en mar) del desarrollo tecnológico denominado glider prototipo CIDESI</t>
  </si>
  <si>
    <t>Pruebas exitosas de funcionamiento de glider prototipo CIDESI en ambiente relevante. Recopilación de información de fallas y mejoras al sistema como proceso natural de la maduración tecnológica</t>
  </si>
  <si>
    <t>Liberación de pruebas comprometidas del entregable de CIDESI ante el Consorcio CIGOM. Reunión con CICESE para gestionar recursos para continuar con la maduración tecnológica del desarrollo tecnológico.</t>
  </si>
  <si>
    <t>SQ2100985</t>
  </si>
  <si>
    <t>CQ2100932</t>
  </si>
  <si>
    <t>Visita hospital ISSSTE regional veracruz</t>
  </si>
  <si>
    <t>Traslado a Veracruz Asistencia a hospital todo el dia para capacitación y alcance de acuerdos para continuar con uso del ventilador Capacitación con usuarios, así como muestra de bondades del ventilador</t>
  </si>
  <si>
    <t>Plática con personal del hospital, así como acuerdo de oportunidad de uso con apoyo para conexión a paciente</t>
  </si>
  <si>
    <t>Muestra a personal clínico de las bondades del ventilador Capacitación a personal no capacitado Acuerdo de oportunidad de uso</t>
  </si>
  <si>
    <t>100237Hospedaje NacionalCQ2100</t>
  </si>
  <si>
    <t>JUAN MANUEL</t>
  </si>
  <si>
    <t>SQ2100719</t>
  </si>
  <si>
    <t>Servicio Estación Visión</t>
  </si>
  <si>
    <t>CQ2100639</t>
  </si>
  <si>
    <t>100265Hospedaje NacionalCQ2100</t>
  </si>
  <si>
    <t>Cambio de chuck a estacion de vicion y soporte mecanico en la misma.</t>
  </si>
  <si>
    <t>100265Alimentos NacionalesCQ21</t>
  </si>
  <si>
    <t>IVAN</t>
  </si>
  <si>
    <t>ARREDONDO</t>
  </si>
  <si>
    <t>SQ2100610</t>
  </si>
  <si>
    <t>CQ2100546</t>
  </si>
  <si>
    <t>100338Alimentos NacionalesCQ21</t>
  </si>
  <si>
    <t>Se realizo la visita al hospital de tlahuac para la entrega de kits paciente y la entrega de material para el mantenimento de 48 ventiladores</t>
  </si>
  <si>
    <t>Traslado y entrega de material</t>
  </si>
  <si>
    <t>Los resultados fueron evaluados por el personal medico</t>
  </si>
  <si>
    <t>Traslado de material</t>
  </si>
  <si>
    <t>SQ2100624</t>
  </si>
  <si>
    <t>TRANSPORTAR MATERIAL PARA VALIDACIÓN DE VENTILADORES A HOSPITAL EN LA CD. DE MÉXICO.</t>
  </si>
  <si>
    <t>CQ2100547</t>
  </si>
  <si>
    <t>Se realizo la vista a el almacen general de la ciudad de mexico para el armado y calibracion de 50 resppiradores que seran enviados a cuba</t>
  </si>
  <si>
    <t>Desmontaje colocacion de MDF para que las llanatas no caigan en las ranuras de la tarima, actualizacion de fillware y hardware como la revision que cumpla con los parametros indicados.</t>
  </si>
  <si>
    <t>Los resultados fueron favorables ya que se cumplio con la orden y los 50 equipos salienron en tiempo y forma el dia 22 de julio</t>
  </si>
  <si>
    <t>Desembalaje y armado de los 50 ventiladores como la calibracion de y actualizacion de fillware y hardware de los 50 respiradores.</t>
  </si>
  <si>
    <t>100338Hospedaje NacionalCQ2100</t>
  </si>
  <si>
    <t>SQ2100654</t>
  </si>
  <si>
    <t>CQ2100599</t>
  </si>
  <si>
    <t>El dia 26 de julio se realizo la visita al ISSTE  del estado de puebla para realizar el mantenimiento de 6 ventiladores ehecalt, Posterior a esto se ralizo la vita a la ciudad de mexico almacen general del ISSTE para la actualizacion de 100 ventiladoresque se enviarian al pais de cuba.</t>
  </si>
  <si>
    <t>Actualizacion de sofware revision de blender enbalaje y traslado de material.</t>
  </si>
  <si>
    <t>Los resultados fueron muy positivos ya que se termino el trabajo en tiempo y forma.</t>
  </si>
  <si>
    <t>Mantenimiento a 6 ventiladores y la actualizacion de 100 ventiladores en la ciudad de mexico.</t>
  </si>
  <si>
    <t>SQ2100771</t>
  </si>
  <si>
    <t>CQ2100716</t>
  </si>
  <si>
    <t>SQ2100780</t>
  </si>
  <si>
    <t>Realizar servicio de apertura, instalación, validación y capacitación de ventiladores E4T, en Puerto Vallarta y Cd. Guzmán, Jalisco.</t>
  </si>
  <si>
    <t>CQ2100734</t>
  </si>
  <si>
    <t>SQ2100801</t>
  </si>
  <si>
    <t>CQ2100767</t>
  </si>
  <si>
    <t>se realizo la visita al hospital de tepic para la capacitacion del personal del hospital ISSTE como de igaul forma se capacito ala perosnal de ciudad guzmán.</t>
  </si>
  <si>
    <t>Capacitacion instalacion uy sopoprte tecnico al personal del ISSTE.</t>
  </si>
  <si>
    <t>Los resultados fueron evaluados por el perosnal  del ISSTE .</t>
  </si>
  <si>
    <t>Capacitacion del personal soporte tecnico y la instalacionde los ventiladores.</t>
  </si>
  <si>
    <t>GESTORA / GESTOR</t>
  </si>
  <si>
    <t>SUBDIRECCIÓN DE ADMINISTRACIÓN (NL)</t>
  </si>
  <si>
    <t>FRANCISCO GUADALUPE</t>
  </si>
  <si>
    <t>ANTOPIA</t>
  </si>
  <si>
    <t>SN2100013</t>
  </si>
  <si>
    <t>TRASLADO Y RECOLECCION DE EQUIPOS DE METROLOGIA</t>
  </si>
  <si>
    <t>CN2100010</t>
  </si>
  <si>
    <t>100405Alimentos NacionalesCN21</t>
  </si>
  <si>
    <t>SE TRASLADAN EQUIPOS DE DE METROLOGIA DE CIDESI NL A CIDESI QUERETARO,ASI TAMBIEN SE RECOGEN EQUIPOS DE CIDESI QUERETARO,TRASLADANDOSE A LA SEDE NL</t>
  </si>
  <si>
    <t>SE REALIZA TRASLADO DE EQUIPOS DE METROLOGIA DE LA SE DE NL A LA SEDE QUIERETARO Y A SU VEZ SE REALIZAN TRASLADOS DE EQUIPOS DE QUERETARO A NL</t>
  </si>
  <si>
    <t>SE REALIZAN TRASLADOS DE EQUIPOS SIN NINGUN CONTRATIEMPO</t>
  </si>
  <si>
    <t>SE CONTRIBUYE A LA PRONTA ENTREGA EN TIEMPO Y FORMA CON LOS CLIENTES</t>
  </si>
  <si>
    <t>100405Hospedaje NacionalCN2100</t>
  </si>
  <si>
    <t>100405Transporte local (taxi,</t>
  </si>
  <si>
    <t>CERECEDO</t>
  </si>
  <si>
    <t>ROQUE</t>
  </si>
  <si>
    <t>SQ2100648</t>
  </si>
  <si>
    <t>CQ2100613</t>
  </si>
  <si>
    <t>100486Alimentos NacionalesCQ21</t>
  </si>
  <si>
    <t>Apoyo  preparación  y embalaje de respiradores con destino CUBA.</t>
  </si>
  <si>
    <t>transporte insumos, calibración y embalaje de 100 repiradores.</t>
  </si>
  <si>
    <t>Preparación y embalaje de 100 respiradores</t>
  </si>
  <si>
    <t>Calibración y embalaje</t>
  </si>
  <si>
    <t>100486Hospedaje NacionalCQ2100</t>
  </si>
  <si>
    <t>100486EstacionamientoCQ2100613</t>
  </si>
  <si>
    <t>AUXILIAR DE FONDOS MIXTOS Y SECTORIALES</t>
  </si>
  <si>
    <t>CRISTINA</t>
  </si>
  <si>
    <t>MORALES</t>
  </si>
  <si>
    <t>SQ2101004</t>
  </si>
  <si>
    <t>Entrega de documentación en la Ciudad de México (Carpetas para Junta de Gobierno).</t>
  </si>
  <si>
    <t>CQ2100920</t>
  </si>
  <si>
    <t>100490CasetasCQ2100920</t>
  </si>
  <si>
    <t>Se canceló la comisión  se devuelve el recurso no ejercido.</t>
  </si>
  <si>
    <t>RESPONSABLE SANITARIO Y DE TECNOVIGILANCIA</t>
  </si>
  <si>
    <t>GERENCIA DE CALIDAD INTEGRAL</t>
  </si>
  <si>
    <t>DARIO</t>
  </si>
  <si>
    <t>MIRANDA</t>
  </si>
  <si>
    <t>GRANADOS</t>
  </si>
  <si>
    <t>SQ2100570</t>
  </si>
  <si>
    <t>Tramite COFEPRIS: - Responsable de Tecnovigilancia - Modificación técnica YOLIKAN</t>
  </si>
  <si>
    <t>CQ2100515</t>
  </si>
  <si>
    <t>100502Alimentos NacionalesCQ21</t>
  </si>
  <si>
    <t>Realizar tramite COFEPRIS: - Responsable de Tecnovigilancia - Modificación técnica YOLIKAN</t>
  </si>
  <si>
    <t>Documentación, revisión y gestión</t>
  </si>
  <si>
    <t>Se reciben las solicitudes, en espra de entrega de resoluciones</t>
  </si>
  <si>
    <t>documentación, revisión y gestión</t>
  </si>
  <si>
    <t>ALDO AUGUSTO</t>
  </si>
  <si>
    <t>SQ2100758</t>
  </si>
  <si>
    <t>Revision de proyecto para camara de pintura en CUMMNIS</t>
  </si>
  <si>
    <t>DORANTES CAMPUZANO ARIEL</t>
  </si>
  <si>
    <t>CQ2100667</t>
  </si>
  <si>
    <t>100504Alimentos NacionalesCQ21</t>
  </si>
  <si>
    <t>Se reviso con el cliente la propuesta que espera y se hicieron notas de la mejor propuesta para las necesidades del cliente y se acordo en actualizar la propuesta para enviarla nuevamente al cliente.</t>
  </si>
  <si>
    <t>SQ2101030</t>
  </si>
  <si>
    <t>Visita para revisar propuesta para cotizacion de alimentador automatica mediante robot a molde de inyeccion de plastico</t>
  </si>
  <si>
    <t>CQ2100939</t>
  </si>
  <si>
    <t>Se reviso propuesta para desarrollo de sistema automatico de alimentacion de insertos en maquina de inyeccion de plastico; esto con un sistema manual de alimentacion de insertos de donde seran tomados automaticamente por el robot.</t>
  </si>
  <si>
    <t>SUBDIRECTORA / SUBDIRECTOR DE CONTABILIDAD</t>
  </si>
  <si>
    <t>SUBDIRECCIÓN DE CONTABILIDAD</t>
  </si>
  <si>
    <t>EFIGENIA</t>
  </si>
  <si>
    <t>MEZA</t>
  </si>
  <si>
    <t>SQ2100578</t>
  </si>
  <si>
    <t>Dirigirse al Estado de Mexico para Cambio de Representante Legal en el Registro Estatal en las Oficinas de Secretaria de Recaudacin de Tlanepantla.</t>
  </si>
  <si>
    <t>CQ2100537</t>
  </si>
  <si>
    <t>100505Transporte local - no fi</t>
  </si>
  <si>
    <t>Exitosas</t>
  </si>
  <si>
    <t>Se llego en tiempo y forma entregando los documentos</t>
  </si>
  <si>
    <t>Actualizar ckaves</t>
  </si>
  <si>
    <t>100505Alimentos NacionalesCQ21</t>
  </si>
  <si>
    <t>SQ2100609</t>
  </si>
  <si>
    <t>Dirigirse a la Ciudad de Mexico al IEE para pago de reinscripcion</t>
  </si>
  <si>
    <t>CQ2100541</t>
  </si>
  <si>
    <t>Iniciar el ciclo.</t>
  </si>
  <si>
    <t>Se llego en tiempo y se hicieron los tramites.</t>
  </si>
  <si>
    <t>Setguir preparandose.</t>
  </si>
  <si>
    <t>SQ2100772</t>
  </si>
  <si>
    <t>DIRIGIRSE A LA SEDE DE ESTADO DE MEXICO PARA REVISION DE PENDIENTES Y TEMAS.</t>
  </si>
  <si>
    <t>CQ2100695</t>
  </si>
  <si>
    <t>VERIFICAR EL SEGUIMIENTO DE LOS TEMAS PARA OBTENER PRONTA RESPUESTA.</t>
  </si>
  <si>
    <t>SE VUERON VARIOS TEMAS DE MANTENIMIENTO, DE RECURSOS HUMANOS, ADMINISTRATIVOS Y SUBCONTRATADOS.</t>
  </si>
  <si>
    <t>DARLES SEGUIMIENTO.</t>
  </si>
  <si>
    <t>SQ2100840</t>
  </si>
  <si>
    <t>DIRIRIGIRSE A LA CIUDAD DE MEXICO  Y NAUCALPAN ESTADO DE MEXICO A VISITAR 2 PROVEEDORES PARA LA REVISION DE FINANCIAMIENTO  DE LOS SISTEMA DE TI.</t>
  </si>
  <si>
    <t>CQ2100747</t>
  </si>
  <si>
    <t>VERIFICAR CON REQUISICION LA SOLICITUD DE MONTOS SOLICITADOS.</t>
  </si>
  <si>
    <t>SE CONFIRMO VISITA</t>
  </si>
  <si>
    <t>PARA LA REVISION</t>
  </si>
  <si>
    <t>SQ2101002</t>
  </si>
  <si>
    <t>DIRIGIRSE A LA SHCP EN LA CIUDAD DE MEXICO, PARA LA ENTREGA DE LA CARPETA  JUNTA DE GOBIERNO.</t>
  </si>
  <si>
    <t>CQ2100927</t>
  </si>
  <si>
    <t>NO SE REALIZOLA COMISION</t>
  </si>
  <si>
    <t>RICARDO</t>
  </si>
  <si>
    <t>COLIN</t>
  </si>
  <si>
    <t>SE2100009</t>
  </si>
  <si>
    <t>Viaje a CIDESI Qro. Atender reuniones de trabajo con: 1. Gerencia de Construcción Mecánica con el Dr. Celso y el Ing. Ezequiel. Proyecto 00ED0030 Manufactura. 2. Gerencia de Ingeniería de Superficies. Dr. Diego Espinosa. Oportunidades de Negocio con Electrodos INFRA. 3. Visita a Proveedor</t>
  </si>
  <si>
    <t>CE2100008</t>
  </si>
  <si>
    <t>100523Alimentos NacionalesCE21</t>
  </si>
  <si>
    <t>Proyecto: 000EO0129_Comercialización Unidad EdoMex. Cliente: Electrodos INFRA Contacto: Ing. Raúl Cuevas Espinosa (Gerente de Operaciones) Visita a CIDESI Sede Querétaro Gerencia: Tecnología de Superficies Dr. Diego German Espinosa Arbeláez (Gerente Tecnologías de Superficies), Dr. Christian Félix Martínez, M.C. Jesús Mauricio Tello Rico Dirección DEO: Ing. David Jerónimo Mendoza Monroy Gerencia de Construcción Mecánica. Dr. Celso Eduardo Cruz González Ing. Ezequiel Gómez Vázquez   Objetivos:  1. Viajea CIDESI Querétaro, para atender a la junta programada con personal de Tecnologías de Superficies para revisar dos oportunidades de negocio con Electrodos INFRA que se pueden atender de manera conjunta. 2. DEO. Diligencias solicitadas por Dr. Alejandro González Calderón pasar con el Ing. David Jerónimo para recoger las pruebas médicas para detectar COVID-19. 3. Construcción Mecánica. Atender a la junta programada para revisar y acordar la manufactura de los componentes necesarios para la cabeza de extrusión prototipo I.</t>
  </si>
  <si>
    <t xml:space="preserve"> 1. Se llevó a cabo la junta programada con personal de Tecnologías de Superficies para revisar dos oportunidades de negocio con Electrodos INFRA que se pueden atender de manera conjunta, estas mismas son: A través de la Aplicación de Recubrimientos Avanzados disminuir desgaste y evitar corrosión para incrementar la vida útil de los dispositivos productivos siguientes: Proceso de Recuperado de Pasta • Molino Pulvex 1. • Molino Pulvex 2. Proceso de Pasta para revestimiento de electrodos de plata.  • Molino tipo Muelas para pulverizado de componentes químicos. Una vez que se presenta los requerimientos y las especificaciones técnicas recabadas hasta el momento, el Dr. Diego tiene a bien asignar los trabajos que realizan su personal para atender a ambas solicitudes. 2. Se cumple con todas las Diligencias solicitadas, se recibe de parte del Ing. David Jerónimo las Pruebas para detectar la enfermedad del COVID-19. 3. Se llevó a cabo la junta con el Dr. Celso y el Ing. Ezequiel en donde se revisaron los diseños y la manufactura adecuada para los componentes solicitados para la cabeza de extrusión prototipo. El Ing. Ezequiel nos asigna aceros que tiene en stock.</t>
  </si>
  <si>
    <t xml:space="preserve">1. Se cumple con el objetivo de hablar con personal del Área de Tecnologías de Superficies, en especial con el Gerente Dr. Diego Espinosa Arbeláez, el cual se interesa ampliamente por estas nuevas oportunidades presentadas y la oportunidad de trabajar demanera conjunta dos proyectos para la compañía ELECTRODOS INFRA.  2. Se cumple con el objetivo de revisar la manufactura con el área de Construcción Mecánica, paso importante para reiniciar el proyecto 000ED0030. Cabeza de Extrusión Prototipo. 3. Se cumple con las diligencias solicitadas. </t>
  </si>
  <si>
    <t>1. Cumplimiento de actividades de comercialización y búsqueda de nuevas oportunidades de negocio.</t>
  </si>
  <si>
    <t>SE2100019</t>
  </si>
  <si>
    <t>Atención a Nueva Oportunidad de Negocio Empresa: INDUSTRIAS TECNOS, S.A. de C.V. Contacto: Ing. Rodrigo Rosales Gte. Torre de Plomo Ing. Juan Manuel López Gte. Fuego Anular Giro de Negocio: Manufactura de Balas y Cartuchos Actividad: Visita a la Planta Cuernavaca Morelos</t>
  </si>
  <si>
    <t>CE2100015</t>
  </si>
  <si>
    <t>Proyecto: 000EO0129_Comercialización Unidad EdoMex. Visita a Cliente: Industrias Tecnos S.A. de C.V. Águila Ammunition Planta Cuernavaca Morelos. Contactos: Ing. Rodrigo Rosales (Gerente Jr. de Torre de Plomo), Ing. Juan Manuel López (Gerente Jr. de Fuego Anular), Ing. Benito Guerrero e Ing. Rafael Villaseñor (Responsables de áreas de Extrusión y Troquelado. Objetivos:  1. Viaje a la Planta de Águila Ammunition Planta Cuernavaca Morelos para atender a la junta programada con personal de las áreas de Extrusión de Plomo y troquelados de capsulas de plomo que es la materia prima para la fabricación de balas calibre 22. 2. Entender sus procesos productivos relacionados con la transformación del plomo en capsulas que son la materia prima para las balas calibres 22, se requiere tener un mejor control de la longitud de las mismas, se ha identificado que su proceso de transformación no puede controlar esta variable, por lo tanto, se tiene la necesidad de contener el material que se encuentra fuera de especificación mediante la integración de una máquina que ayude a separar o detener las capsulas que se encuentren fuera de parámetros. 3. Labor de comercialización presentar al personal de Águila Ammunition toda la oferta tecnológica que tiene CIDESI.</t>
  </si>
  <si>
    <t>1. Se llevó a cabo la junta programada con personal Águila Ammunition personal asistente: Ing. Rodrigo Rosales (Gerente Jr. de Torre de Plomo), Ing. Rafael Villaseñor e Ing. Benito Guerrero (responsables de las áreas de extrusión y troquelado, Ing. Lázaro Supervisor de área. Se realiza un recorrido por las áreas productivas en donde nos muestran las siguientes problemáticas: a) Se requiere un embobinador para el alambrón de plomo que es extruido. Este alambrón es la materia prima para troquelar las capsulas de plomo. Es factible integrar un dispositivo que embobine el alambre de plomo para pasarlo al área de troquelado. b) Ya en el área de troquelado, se observa que este alambrón de plomo previamente enrollado a mano, también es desenrollado a mano para alimentarlo a la troqueladora, se recomienda un desenrollador automático para suministre de manera constante a la troqueladora, considerando que de esta manera se evitaría que el alambre que viene con cierta temperatura sea deformado. c) Precisamente por el manejo manual de la materia prima, este sufre deformaciones que ocasiona que a la hora de troquelar la capsula no repita su geometría, los ingenieros comentan que no le ha sido posible controlar esta variable por lo que solicitan se integre un dispositivo que pese y mida la capsula y discrimine aquellas que están fuera de dimensión.</t>
  </si>
  <si>
    <t>1. Se cumple con el objetivo de comprender las necesidades del cliente por lo que se le solicita de manera preliminar información técnica relevante del proceso productivo, producto y equipos para dar inicio con la actividad de investigación de cómo resolver sus necesidades. Se logra interesar al cliente, muestra buena empatía con unos servidores.</t>
  </si>
  <si>
    <t>1.Cumplimiento de actividades de comercialización y búsqueda de nuevas oportunidades de negocio.</t>
  </si>
  <si>
    <t>SE2100025</t>
  </si>
  <si>
    <t>Visita a CIDESI Qro. y Visita a Proveedor de Rectificado de Conos Morse y nueva solicitud de Electrodos para Electroerosionado. 1. Seguimiento a la Manufactura de partes de la Cabeza de Extrusión Prototipo I 2. Visita al Dr. Christian Felix de Tecnologias de Superficies. Tema Recubrimientos EINFRA</t>
  </si>
  <si>
    <t>CE2100019</t>
  </si>
  <si>
    <t xml:space="preserve">Cliente: Electrodos INFRA Contacto: Ing. Raúl Cuevas Espinosa (Gerente de Operaciones) Visita a CIDESI Sede Querétaro Gerencia de Construcción Mecánica: Ing. José Martín Barbosa Vargas e Ing. Ezequiel Gómez Vázquez   Visita a Proveedor: Servicios de Rectificado y Maquinado Industrial en Prol. Tecnológico #175 Col. El Retablo Querétaro. Objetivos:  1. Viaje a CIDESI Qro. Construcción Mecánica. Atender a la junta programada para revisar el Plan de Manufactura, acordar la manufactura de los componentes necesarios para la cabeza de extrusión prototipo I. 2. Visita a Proveedor, Sr. Erick cuya compañía provee Servicios de Rectificado de precisión requeridos para los Conos Morse y Electrodos de Cobre Electrolítico para el proceso de electroerosión. </t>
  </si>
  <si>
    <t xml:space="preserve">1. Se llevó a cabo la junta con el Ing. Martin Barbosa y el Ing. Ezequiel, se volvieron a revisar los diseños y la manufactura adecuada para los componentes solicitados de la cabeza de extrusión prototipo. El Ing. Ezequiel nos asigna aceros que tiene enstock y se acuerda que estaremos en comunicación muy constante hasta la entrega de las piezas. 2. Se visitó al Proveedor, Sr. Erick cuya compañía provee Servicios de Rectificado de precisión requeridos para los Conos Morse y Electrodos de Cobre Electrolítico para el proceso de electroerosión, se acuerda con el Sr. Erick que tan pronto le lleguen las partes estas serán maquinadas. 3. Platica con el Ing. Diego Camacho para hacerle una atenta invitación a colaborar en el proyecto de Desarrollo Tecnológicodel Dispositivo Multi-dosis para la vacuna COVID-19.  </t>
  </si>
  <si>
    <t>1. Se cumple con el objetivo de revisar la manufactura con el área de Construcción Mecánica, paso importante para dar continuidad al proyecto 000ED0030. Cabeza de Extrusión Prototipo, misma que ya se tiene fecha (septiembre 17. 2021) para realizar pruebas de funcionalidad.</t>
  </si>
  <si>
    <t>1. Cumplimiento de actividades de seguimiento a proyectos activos.</t>
  </si>
  <si>
    <t>SE2100027</t>
  </si>
  <si>
    <t>Cliente:  INDUSTRIAS TECNOS, S.A. DE C.V. - ÁGUILA AMMUNITION Visita a la Planta en Cuernavaca Morelos Objetivo: Presentar las posibles soluciones sus requerimientos de mejora en Procesos de Extrusión y Troquelado, mismas que fueron obtenidas del Estado del Arte. Contacto: Ing. Benito Guerrero.</t>
  </si>
  <si>
    <t>CE2100022</t>
  </si>
  <si>
    <t>Proyecto: 000EO0129_Comercialización Unidad EdoMex. Visita a Cliente: Industrias Tecnos S.A. de C.V. Águila Ammunition Planta Cuernavaca Morelos. Contactos: Ing. Benito Guerrero e Ing. Rafael Villaseñor (Responsables de áreas de Extrusión y Troquelado. Objetivos:  1. Viaje a la Planta de Águila Ammunition Planta Cuernavaca Morelos para atender a la junta programada con personal de las áreas de Extrusión de Plomo y troquelados de capsulas de plomo que es la materia prima para la fabricación de balas calibre 22. 2. Presentar el Estado del Arte sobre los métodos extrusión tocho sobre tocho para producir alambre de plomo de manera continua, revisar cómo se puede realizar la soldadura del alambre durante la extrusión. 3. Presentar las soluciones para mejorala calidad de las capsulas troquelas que son la materia prima para producir balas calibre 22, se requiere tener un mejor control de las dimensiones, forma geométrica y peso.  4. Continua la labor de comercialización presentando al personal de Águila Ammunition toda la oferta tecnológica que tiene CIDESI, sobre todo lo relacionado con Tratamientos Térmicos y Recubrimientos superficiales a dados de extrusión, punzones y matriz de troqueles.</t>
  </si>
  <si>
    <t>1. Se llevó a cabo la junta programada con personal Águila Ammunition personal asistente: Ing. Rafael Villaseñor, Ing. Benito Guerrero (responsables de las áreas de extrusión y troquelado) y el Ing. Lázaro Supervisor de área. Se presenta a los ingenieroslas investigaciones en extenso siguientes: a) Estado del Arte sobre los métodos extrusión tocho sobre tocho para producir alambre de plomo de manera continua, revisar cómo se puede realizar la soldadura del alambre durante la extrusión. Se presenta a detalle que modificaciones que requiere la Extrusora COLLIN 1 para poder extrudir y soldar alambre de plomo durante la carga de tocho sobre tocho, esta solución permitiría tener una producción continua del alambre de plomo y entonces sí se podría integraruna bobinadora horizontal. b) Investigación en extenso de las posibles soluciones para mejora la calidad de las capsulas troquelas que son la materia prima para producir balas calibre 22, se requiere tener un mejor control de las dimensiones, forma geométrica y peso. Se presenta un concepto de diseño de una celda para el manejo de las capsulas mediante trasportadores de canjilones, mismo que alimenta a un bowl feeder el cual dispondrá capsulas de manera unitaria para pasar a perfilo metros para inspección dimensional y pesado mediante pesadoras de alta velocidad. Se proporciona detalles de los equipos antes descritos. 2. Se aprove</t>
  </si>
  <si>
    <t>1. Se cumple con el objetivo de interesar al prospecto y se logra interesa también con otro servicio. El Personal asistente se muestra sorprendido por la cantidad de información de interés que le fue compartida, refieren que nuestras propuestas serán evaluadas con los gerentes de las áreas de extrusión y troquelado. Se dará seguimiento.</t>
  </si>
  <si>
    <t>MIRIAM KAREN</t>
  </si>
  <si>
    <t>SQ2100812</t>
  </si>
  <si>
    <t>Reunión de segumiento con clinete para seguimiento de proyectos y negociación de cierre.</t>
  </si>
  <si>
    <t>CQ2100735</t>
  </si>
  <si>
    <t>100551Alimentos NacionalesCQ21</t>
  </si>
  <si>
    <t>Revisión de cada uno de los adeudos que el cliente tiene con CIDESI de cada uno de los proyectos pendientes.</t>
  </si>
  <si>
    <t>Revisión de cada uno de los proyectos (estatus financiro y técnico)</t>
  </si>
  <si>
    <t>Se revisaron todos los proyectos y se acordó que el cliente mandaría una propusta para ser valuda por CIDESI.</t>
  </si>
  <si>
    <t>Detalle y contexto de cada uno de los proyectos, alternativas de nogociación para cierre definitivo.</t>
  </si>
  <si>
    <t>CALDERON</t>
  </si>
  <si>
    <t>SE2100023</t>
  </si>
  <si>
    <t>TRASLADO AL ALMACÉN GENERAL DEL ISSSTE EN LA CD. DE MÉXICO PARA APOYO EN EL EMBALAJE DE 18 VENTILADORES Y POSTERIOR TRASLADO A LA CIUDAD DE QUERÉTARO PARA  LA REALIZACIÓN DE PRUEBA PCR.</t>
  </si>
  <si>
    <t>CE2100021</t>
  </si>
  <si>
    <t>100561Alimentos NacionalesCE21</t>
  </si>
  <si>
    <t>Preparar ventiladores para su traslado y tomar prueba ded COVID</t>
  </si>
  <si>
    <t>Desempaque, preparación y plataformas y embalaje de ventiladores. Asistencia a prueba de COVID</t>
  </si>
  <si>
    <t>se prepararon ventiladores y se tomó prueba de COVID</t>
  </si>
  <si>
    <t>Se logró el objetivo</t>
  </si>
  <si>
    <t>SE2100026</t>
  </si>
  <si>
    <t>TRASLADO AL ALMACÉN GENERAL DEL ISSSTE EN LA CD. DE MÉXICO PARA APOYAR CON EL  EMBALAJE DE 16 VENTILADORES.</t>
  </si>
  <si>
    <t>CE2100020</t>
  </si>
  <si>
    <t>Preparar ventiladores para su transporte</t>
  </si>
  <si>
    <t>Desempaque, preparación y embalaje</t>
  </si>
  <si>
    <t>Se prepararon 20 ventiladores</t>
  </si>
  <si>
    <t>embalaje y preparación para transporte de equipo</t>
  </si>
  <si>
    <t>GUSTAVO</t>
  </si>
  <si>
    <t>VEGA</t>
  </si>
  <si>
    <t>LEON</t>
  </si>
  <si>
    <t>SQ2100518</t>
  </si>
  <si>
    <t>Recolección de equipos de medición propiedad de GM TOLUCA planta TREC, en las instalaciones del proveedor METAS en Cd. Guzman, Jal. NOTA: Se solicitan $400 para casetas por los pagos que sólo se aceptan en efectivo para este peaje en el tramo Guadalajara - Cd. Guzman</t>
  </si>
  <si>
    <t>CQ2100704</t>
  </si>
  <si>
    <t>100708Alimentos NacionalesCQ21</t>
  </si>
  <si>
    <t>Recolección de equipos de medición propiedad de GM TOLUCA planta TREC, en las instalaciones del proveedor METAS en Cd. Guzman, Jal. NOTA: Se solicitan $400 para casetas por los pagos que sólo se aceptan en efectivo para este peaje en el tramo Guadalajara- Cd. Guzman</t>
  </si>
  <si>
    <t>BUEN VIAJE Y BUEN REGRESO</t>
  </si>
  <si>
    <t>SIN CONTRATIEMPOS</t>
  </si>
  <si>
    <t>SQ2100538</t>
  </si>
  <si>
    <t>Entrega de equipos de medición calbrados, propiedad de GM TOLUCA planta TREC calibrados en CIDESI ; METAS y CENAM; Destino: Toluca, Edo. de Mex.</t>
  </si>
  <si>
    <t>CQ2100478</t>
  </si>
  <si>
    <t>Entrega de equipos de medición calbrados, propiedad de GM TOLUCA planta TREC calibrados en CIDESI ; METAS y CENAM; Destino: Toluca, Edo. de Mex</t>
  </si>
  <si>
    <t>BUEN VIAJE  Y BUEN REGRESO</t>
  </si>
  <si>
    <t>SQ2100559</t>
  </si>
  <si>
    <t>Pasar por documento con el cliente STC Metro en la CDMX.</t>
  </si>
  <si>
    <t>CQ2100494</t>
  </si>
  <si>
    <t>SQ2100564</t>
  </si>
  <si>
    <t>Tralado de piezas y entrega de documentos</t>
  </si>
  <si>
    <t>CQ2100495</t>
  </si>
  <si>
    <t>Tralado de piezas y entrega de documentos TRASLADO DE PERSONAL DE CIDESI  A LA SEDENA ENTREGA  DE MATERIAL EN CIDESI ESTADO DE MEXICO</t>
  </si>
  <si>
    <t>100708EstacionamientoCQ2100495</t>
  </si>
  <si>
    <t>SQ2100567</t>
  </si>
  <si>
    <t>RECOGER A PERSONAL DE LA DIRECCIÓN EN AEROPUERTO INTL. DE LA CD. DE MÉXICO</t>
  </si>
  <si>
    <t>CQ2100502</t>
  </si>
  <si>
    <t>BUEN VIEJA Y BUEN REGRESO</t>
  </si>
  <si>
    <t>100708EstacionamientoCQ2100502</t>
  </si>
  <si>
    <t>SQ2100577</t>
  </si>
  <si>
    <t>TRASLADO DE PERSONAL A LAS INSTALACIONES DE PROFECO EN CDMX</t>
  </si>
  <si>
    <t>CQ2100519</t>
  </si>
  <si>
    <t>100708EstacionamientoCQ2100519</t>
  </si>
  <si>
    <t>SQ2100580</t>
  </si>
  <si>
    <t>Recoger material correspondiente a la cotización GMA-2021-036-Birsa y entrega de placa en Sede Edo. de México.</t>
  </si>
  <si>
    <t>CQ2100520</t>
  </si>
  <si>
    <t>SQ2100582</t>
  </si>
  <si>
    <t>Recolección de instrumentos de medición propiedad de nuestro cliente GENERAL MOTORS DE MÉXICO complejo Toluca, Planta TREC, programados para su calibración en CIDESI y CENAM; Toluca Edo. De Mex.</t>
  </si>
  <si>
    <t>CQ2100521</t>
  </si>
  <si>
    <t>SQ2100596</t>
  </si>
  <si>
    <t>Entrega de convenio y recabar firmas con personal de Banamex en la CDMX</t>
  </si>
  <si>
    <t>CQ2100538</t>
  </si>
  <si>
    <t>SQ2100603</t>
  </si>
  <si>
    <t>Entrega de documentación del Entregable 1 de la etapa 2</t>
  </si>
  <si>
    <t>CQ2100529</t>
  </si>
  <si>
    <t>SQ2100595</t>
  </si>
  <si>
    <t>Recolección de equipos de medición propiedad de GM Tolucs planta TREC, para su calibración en SICAMET y CIDESI; Toluca, Edo. de Mex.</t>
  </si>
  <si>
    <t>CQ2100539</t>
  </si>
  <si>
    <t>SQ2100629</t>
  </si>
  <si>
    <t>LLEVAR VEHICULO REQUERIDO POR  PERSONAL DE LA GERENCIA DE CARACTERIZACION DE MATERIALES QUE REALIZA SERVICIO DE INSPECCION EN LA EMPRESA MAZDA EN SALAMANCA, GTO</t>
  </si>
  <si>
    <t>CQ2100556</t>
  </si>
  <si>
    <t>SQ2100667</t>
  </si>
  <si>
    <t>TRASLADO DE MATERIALES A CIDESI ESTADO DE MEXICO</t>
  </si>
  <si>
    <t>CQ2100557</t>
  </si>
  <si>
    <t>TRASLADO DE MATERIALES A CIDESI ESTADO DE MEXICO DIA SABADO</t>
  </si>
  <si>
    <t>sin contratiempos</t>
  </si>
  <si>
    <t>SQ2100615</t>
  </si>
  <si>
    <t>Apoyo con la recolección de reactivo en las instalaciones de Cinvestav, Zacatengo.</t>
  </si>
  <si>
    <t>CQ2100552</t>
  </si>
  <si>
    <t>Apoyo con la recolección de reactivo en las instalaciones de Cinvestav, Zacatengo. ENTREGA DE  DOCUEMNTOS EN EL IMPI  TATENTES ENTREGA DE  DOCUEMNTOS EN CONACYT  Y SFP ENTREGA DE  COPIADORA  3D  EN EMPRESA INSTALACIONES RECOGER MATERIAL EN IPN ZACATENGO</t>
  </si>
  <si>
    <t>SQ2100642</t>
  </si>
  <si>
    <t>Recoger equipo de balanza de patron en las instalaciones de Mettler Toledo</t>
  </si>
  <si>
    <t>CQ2100558</t>
  </si>
  <si>
    <t>SQ2100672</t>
  </si>
  <si>
    <t>Recolección de elemento (Matraz) para ensayo de aptitud en el que participa el Laboratorio de Volumen, se viaja en vehiculo propiedad del centro.</t>
  </si>
  <si>
    <t>CQ2100563</t>
  </si>
  <si>
    <t>Recolección de elemento (Matraz) para ensayo de aptitud en el que participa el Laboratorio de Volumen, se viaja en vehiculo propiedad del centro ENTREGA DE DOCUMENTACION EN EL ISSSTE DE TLALPAN ENTREGA DE CARPETA EN OFC CENTRALES ENTREGA DE DOCUEMNTOS ENCONACYT. RECOGER  PIEZAS EN CIDESI ESTADO DE MEXICO A QRO</t>
  </si>
  <si>
    <t>Recolección de elemento (Matraz) para ensayo de aptitud en el que participa el Laboratorio de Volumen, se viaja en vehiculo propiedad del centro. ENTREGA DE DOCUMENTACION EN EL ISSSTE DE TLALPAN ENTREGA DE CARPETA EN OFC CENTRALES ENTREGA DE DOCUEMNTOS EN CONACYT. RECOGER  PIEZAS EN CIDESI ESTADO DE MEXICO A QRO</t>
  </si>
  <si>
    <t>SQ2100692</t>
  </si>
  <si>
    <t>Recolectar equipo del Laboratorio de Densidad, Baño de recirculación que se realizo mantenimiento. Se viaja en vehiculo propiedad del centro.</t>
  </si>
  <si>
    <t>CQ2100608</t>
  </si>
  <si>
    <t>NO SE REALIZA COMISION  CANCELADA</t>
  </si>
  <si>
    <t>SQ2100698</t>
  </si>
  <si>
    <t>Apoyo con el traslado a Cidesi de impresora 3D que se encuentra en las inslatalaciones de CENTURY 3D pues estaba en revisión</t>
  </si>
  <si>
    <t>CQ2100609</t>
  </si>
  <si>
    <t>SIN CONTRATIEMPO</t>
  </si>
  <si>
    <t>SQ2100703</t>
  </si>
  <si>
    <t>TRASLADO DE PERSONAL DE CIDESI A LAS INSTALACIONES DE PROFECO</t>
  </si>
  <si>
    <t>CQ2100631</t>
  </si>
  <si>
    <t>TRASLADO DE PERSONAL DE CIDESI A LAS INSTALACIONES DE PROFECO ENTREGA DE  DOCUMENTOS EN LA TESOFE</t>
  </si>
  <si>
    <t>SQ2100728</t>
  </si>
  <si>
    <t>ENTREGA DE DOCUMENTOS</t>
  </si>
  <si>
    <t>CQ2100632</t>
  </si>
  <si>
    <t>ENTREGA DE DOCUMENTOS ENTREGA DE  CHEQUE  EN CIDESI ESTADO DE MEXICO RECOGER  EQUIPO  DE CALIBRACION</t>
  </si>
  <si>
    <t>SQ2100761</t>
  </si>
  <si>
    <t>TRASLADO DE HERRAMIENTAS Y MATERIALES</t>
  </si>
  <si>
    <t>CQ2100659</t>
  </si>
  <si>
    <t>TRASLADO DE HERRAMIENTAS Y MATERIALES ENTREGA DE DOCUMENTOS EN VARIAS DEPENDENCIAS</t>
  </si>
  <si>
    <t>SQ2100744</t>
  </si>
  <si>
    <t>Traslado de personal al Aeropuerto Internacional CDMX.</t>
  </si>
  <si>
    <t>CQ2100658</t>
  </si>
  <si>
    <t>Traslado de personal al Aeropuerto Internacional CDMX</t>
  </si>
  <si>
    <t>SQ2100752</t>
  </si>
  <si>
    <t>TRASLADO DE PERSONAL A LAS INTALACIONES PROFECO</t>
  </si>
  <si>
    <t>CQ2100660</t>
  </si>
  <si>
    <t>TRASLADO DE PERSONAL A LAS INTALACIONES PROFECO ENTREGA DE DOCUMENTOS EN CONACYT</t>
  </si>
  <si>
    <t>SQ2100764</t>
  </si>
  <si>
    <t>ENTREGA DE DOCUMENTACION EN CONACYT Y CONAMER</t>
  </si>
  <si>
    <t>CQ2100674</t>
  </si>
  <si>
    <t>100708EstacionamientoCQ2100674</t>
  </si>
  <si>
    <t>SQ2100753</t>
  </si>
  <si>
    <t>REGRESO DE PERSONAL DE LAS INSTALACIONES PROFECO A CIDESI QUERETARO</t>
  </si>
  <si>
    <t>CQ2100676</t>
  </si>
  <si>
    <t>REGRESO DE PERSONAL DE LAS INSTALACIONES PROFECO A CIDESI QUERETARO ENTREGA DE DOCUMENTOS EN LA TESOFE Y IMPI</t>
  </si>
  <si>
    <t>SQ2100782</t>
  </si>
  <si>
    <t>Entrega y recolección de patrones instrumentos y equipos en GM TOLUCA planta TREC; Toluca, Edo. de Mex.</t>
  </si>
  <si>
    <t>CQ2100698</t>
  </si>
  <si>
    <t>SQ2100798</t>
  </si>
  <si>
    <t>ENTREGA Y RECOLECTA DE MATERIALES</t>
  </si>
  <si>
    <t>CQ2100710</t>
  </si>
  <si>
    <t>BUEN VIAJE  Y BUEN REEGRESO</t>
  </si>
  <si>
    <t>SQ2100815</t>
  </si>
  <si>
    <t>TRASLADO DE DIRECTORA ADMINISTRATIVA DE ADMINISTRACION Y FINANZAS</t>
  </si>
  <si>
    <t>CQ2100739</t>
  </si>
  <si>
    <t>TRASLADO DE DIRECTORA ADMINISTRATIVA DE ADMINISTRACION Y FINANZAS TRASLADO DE LA MTRA IVONNE MATA A ALAS INSTALACIONES DE  VALEO SLP SE PAGA ALIMENTOS  DE AMBOS</t>
  </si>
  <si>
    <t>SQ2100835</t>
  </si>
  <si>
    <t>TRASLADO DE PERSONAL DE CIDESI A LAS INSTALACIONES DE PROFECO ENTREGA Y RECOLECCION DE EQUIPO</t>
  </si>
  <si>
    <t>CQ2100753</t>
  </si>
  <si>
    <t>TRASLADO DE PERSONAL DE CIDESI A LAS INSTALACIONES DE PROFECO ENTREGA Y RECOLECCION DE EQUIPO ENTREGA DE DOCUMENTOS EN LA TESOFE Y CONAMER</t>
  </si>
  <si>
    <t>TRASLADO DE PERSONAL DE CIDESI A LAS INSTALACIONES DE PROFECO ENTREGA Y RECOLECCION DE EQUIPO ENTREGA DE DOCUMENTOS EN LA TESOFE Y  CONAMER</t>
  </si>
  <si>
    <t>SQ2100849</t>
  </si>
  <si>
    <t>Apoyo con entrega de equipos para servicio de calibración en las instalaciones de la empresa "Servicios profesionales en Instrumentación" en la ciudad de México</t>
  </si>
  <si>
    <t>CQ2100754</t>
  </si>
  <si>
    <t>Apoyo con entrega de equipos para servicio de calibración en las instalaciones de la empresa ¨Servicios profesionales en Instrumentación¨ en la ciudad de México</t>
  </si>
  <si>
    <t>SQ2100856</t>
  </si>
  <si>
    <t>RECOGER A DIRECTOR Y GERENTE DE ÁREA DE LA DIRECCIÓN DE INGENIERÍA MECÁNICA EN EL AEROPUERTO INTL. DE LA CD. DE MÉXICO.</t>
  </si>
  <si>
    <t>CQ2100776</t>
  </si>
  <si>
    <t>SQ2100883</t>
  </si>
  <si>
    <t>CERTIFICADO DE ADQUISICION O ENAJENACION DE BIENES MUEBLES</t>
  </si>
  <si>
    <t>CQ2100801</t>
  </si>
  <si>
    <t>SQ2100884</t>
  </si>
  <si>
    <t>CERTIFICADO DE NO PROPIEDAD</t>
  </si>
  <si>
    <t>CQ2100819</t>
  </si>
  <si>
    <t>CERTIFICADO DE NO PROPIEDAD EN TOLUCA</t>
  </si>
  <si>
    <t>SIN COPNTRATIEMPOS</t>
  </si>
  <si>
    <t>SQ2100929</t>
  </si>
  <si>
    <t>Entrega de documentos a la TESOFE, CIDESI Estado de Mexico, y un banco de pruebas al Metro</t>
  </si>
  <si>
    <t>CQ2100844</t>
  </si>
  <si>
    <t>SQ2100908</t>
  </si>
  <si>
    <t>TAMITE EN EL REGISTRO PUBLICO DE LA PROPIEDAD CERTIFICADO DE NO PROPIEDAD (BUSQUEDA POR NOMBRE)</t>
  </si>
  <si>
    <t>CQ2100845</t>
  </si>
  <si>
    <t>TAMITE EN EL REGISTRO PUBLICO DE LA PROPIEDAD CERTIFICADO DE NO PROPIEDAD (BUSQUEDA POR NOMBRE) ENTREGA DE DOCUMENTOS EN CIDESI ESTADO DE MEXICO Y RECOGER PIEZAS</t>
  </si>
  <si>
    <t>SQ2100909</t>
  </si>
  <si>
    <t>TRAMITE CERTIFICADO DE NO PROPIEDAD EN EL INSTITUTO REGISTRAL Y CATASTRAL DEL ESTADO DE PUEBLA</t>
  </si>
  <si>
    <t>CQ2100867</t>
  </si>
  <si>
    <t>SQ2100994</t>
  </si>
  <si>
    <t>RECOGER RESPUESTA DE TRAMITE DE CERTIFICADO DE NO PROPIEDAD</t>
  </si>
  <si>
    <t>CQ2100898</t>
  </si>
  <si>
    <t>RECOGER RESPUESTA DE TRAMITE DE CERTIFICADO DE NO PROPIEDAD PACHUCA HGO</t>
  </si>
  <si>
    <t>SQ2101008</t>
  </si>
  <si>
    <t>ENTREGA DE DOCUMENTOS A CONACYT</t>
  </si>
  <si>
    <t>CQ2100929</t>
  </si>
  <si>
    <t>100708EstacionamientoCQ2100929</t>
  </si>
  <si>
    <t>SQ2100995</t>
  </si>
  <si>
    <t>RECOGER RESPUESTA DE TRAMITE DE CERTIFICADO DE NO PROPIEDAD EN CDMX Y TOLUCA</t>
  </si>
  <si>
    <t>CQ2100930</t>
  </si>
  <si>
    <t>CARLO ANDRE</t>
  </si>
  <si>
    <t>SN2100011</t>
  </si>
  <si>
    <t>recolección y entrega de equipos de clientes que por sus dimensiones y cuidado se requiere hacer ese viaje, así como realizarte pruebas médicas que se requieren por GM para servicio que realizarás posteriormente en planta apoyando a CIDESI, Qro</t>
  </si>
  <si>
    <t>CN2100008</t>
  </si>
  <si>
    <t>100740Alimentos NacionalesCN21</t>
  </si>
  <si>
    <t>se recolectaron los equipos y se realizaron los examenes</t>
  </si>
  <si>
    <t>SN2100012</t>
  </si>
  <si>
    <t>Servicio de calibracion de presion en GM Toluca.</t>
  </si>
  <si>
    <t>CN2100009</t>
  </si>
  <si>
    <t>servicio de calibracion en toluca gm de transductor de presión</t>
  </si>
  <si>
    <t>COORDINADORA / COORDINADOR ADMINISTRATIVO</t>
  </si>
  <si>
    <t>SUBDIRECCIÓN DE ADMINISTRACIÓN (EM)</t>
  </si>
  <si>
    <t>ARTURO JAVIER</t>
  </si>
  <si>
    <t>SE2100018</t>
  </si>
  <si>
    <t>APOYO EN TRASLADO DE MATERIAL PARA RESPIRADORES</t>
  </si>
  <si>
    <t>CE2100009</t>
  </si>
  <si>
    <t>100823Alimentos NacionalesCE21</t>
  </si>
  <si>
    <t>TRASLADO  A RECOGER MATERIAL EN AZCAPOTZALCO,  ENTREGAR DE MATERIAL EN QUERÉTARO PARA  BRIGADAS, ENTREGA DE DOCUMENTOS Y TRASLADO DE CONVENIOS AL EDOMEX.</t>
  </si>
  <si>
    <t>RECOLECCIÓN Y TRALADO DE MATERIAL UTILIZADO PARA LAS BRIGADAS DE ARMADO DE RESPIRADORES, ASI COMO EL APOYO EN TRASLADO DE CONVENIOS.</t>
  </si>
  <si>
    <t>ENTREGA DE MATERIAL EN QUERÉTARO PARA PERSONAL DE BRIGADAS.</t>
  </si>
  <si>
    <t>RECOLECCIÓN DE MATERIALES UTILIZADOS PARA LAS BRIGRADAS.</t>
  </si>
  <si>
    <t>DIRECTORA / DIRECTOR DE MATERIALES Y FABRICACIÓN ADITIVA</t>
  </si>
  <si>
    <t>ALVARADO</t>
  </si>
  <si>
    <t>OROZCO</t>
  </si>
  <si>
    <t>BAQ210043</t>
  </si>
  <si>
    <t>Atender diversas sesiones de trabajo y dar seguimiento al desarrollo científico que hasta el momento se desprende del proyecto de biocerámicos, esto junto a la Dr. Diana Ginette Zárate Trivino.</t>
  </si>
  <si>
    <t>CAQ210024</t>
  </si>
  <si>
    <t>100830Boletos de Avión Naciona</t>
  </si>
  <si>
    <t>sesiones de trabajo y dar seguimiento al desarrollo científico que hasta el momento se desprende del proyecto de biocerámicos, esto junto a la Dr. Diana Ginette Zárate Trivino.</t>
  </si>
  <si>
    <t>Se espera obtener un mayor avance en las investigaciones realizadas hasta el momento que del proyecto Biocerámicos se desprenden.</t>
  </si>
  <si>
    <t>Seguir contribuyendo al desarrollo científico del Centro.</t>
  </si>
  <si>
    <t>SQ2100743</t>
  </si>
  <si>
    <t>CQ2100711</t>
  </si>
  <si>
    <t>100830Alimentos NacionalesCQ21</t>
  </si>
  <si>
    <t>Atención de diversas sesiones de trabajo y dar seguimiento al desarrollo científico que hasta el momento se desprende del proyecto de biocerámicos, esto junto a la Dr. Diana Ginette Zárate Trivino.</t>
  </si>
  <si>
    <t>Reunión con el alcalde de Nuevo León para pláticas sobre convenio de trabajo para realización de pruebas de los productos desprendidos de Biocerámicos.</t>
  </si>
  <si>
    <t>Contribuir al desarrollo científico del área FADMAT</t>
  </si>
  <si>
    <t>100830Hospedaje NacionalCQ2100</t>
  </si>
  <si>
    <t>GERENTA / GERENTE DE SISTEMAS MECÁNICOS</t>
  </si>
  <si>
    <t>SAUL</t>
  </si>
  <si>
    <t>SQ2100818</t>
  </si>
  <si>
    <t>Reunión de seguimiento de proyectos con cliente Valeo para ngociación de cierre.</t>
  </si>
  <si>
    <t>CQ2100736</t>
  </si>
  <si>
    <t>100976Alimentos NacionalesCQ21</t>
  </si>
  <si>
    <t>Visitar cliente para dar seguimiento a proyectos abiertos</t>
  </si>
  <si>
    <t>Se atendió la reunión de revisión de proyectos abierto y rondín en la planta para ver el desempeño de la maquinaria desarrollada por cidesi en el pasado</t>
  </si>
  <si>
    <t>Se acordó que se daría seguimiento vía minuta</t>
  </si>
  <si>
    <t>Participación en la negociación del cierre de los proyectos</t>
  </si>
  <si>
    <t>DIRECTORA / DIRECTOR DE INGENIERÍA MECÁNICA</t>
  </si>
  <si>
    <t>MAURICIO</t>
  </si>
  <si>
    <t>TORRES</t>
  </si>
  <si>
    <t>ARELLANO</t>
  </si>
  <si>
    <t>SQ2100528</t>
  </si>
  <si>
    <t>VISITA A LA SEDE CIDESI DEL ESTADO DE MÉXICO PARA DAR SEGUIMIENTO DE PROYECTOS Y MANTENIMIENTO DE LA MISMA.</t>
  </si>
  <si>
    <t>CQ2100491</t>
  </si>
  <si>
    <t>101019Alimentos NacionalesCQ21</t>
  </si>
  <si>
    <t>SE ATENDIERON REUNIONES DE TRABAJO CON EL PERSONAL DE LA SEDE PARA REVISIÓN DE PROYECTOS IMPLEMENTADOS Y MANTENIMIENTO DE LA SEDE.</t>
  </si>
  <si>
    <t>ATENCIÓN DE REUNIONES DE TRABAJO CON EL PERSONAL DE LA SEDE PARA DAR SEGUIMIENTO A PROYECTOS IMPLEMENTADOS, OPORTUNIDADES DE NEGOCIO Y REVISIÓN DE MANTENIMIENTO DE LA SEDE.</t>
  </si>
  <si>
    <t xml:space="preserve">GESTIÓN INSTITUCIONAL. </t>
  </si>
  <si>
    <t>BAQ210039</t>
  </si>
  <si>
    <t>CAQ210021</t>
  </si>
  <si>
    <t>101019Boletos de Avión Naciona</t>
  </si>
  <si>
    <t>ATENDER REUNIONES DE TRABAJO CON CIATEQ, COMINSA,  DIAVAZ, PARA REVISIÓN DE PROYECTOS EN CONJUNTO.</t>
  </si>
  <si>
    <t>REVISIÓN DE PROYECTOS A REALIZAR EN CONJUNTO CON OTRAS EMPRESAS DE LA ZONA.</t>
  </si>
  <si>
    <t>GESTIÓN INSTITUCIONAL</t>
  </si>
  <si>
    <t>SQ2100607</t>
  </si>
  <si>
    <t>CQ2100593</t>
  </si>
  <si>
    <t>Visita a Ciudad del Carmen, con el objetivo de atender reuniones con CIateq y Cominsa, para el fortalecimiento del consorcio de hidrocarburos y ver las estrategias para la conjunción de proyectos en común y revisión de avances de la obra.</t>
  </si>
  <si>
    <t>Atención de reuniones programadas  y supervisión de los avances del obra en la Sede Campeche.</t>
  </si>
  <si>
    <t>Se verán tres proyectos en conjunto con los centros del consorcio y análisis de convenir o de colaboración con Pemex</t>
  </si>
  <si>
    <t>101019Hospedaje NacionalCQ2100</t>
  </si>
  <si>
    <t>SQ2100789</t>
  </si>
  <si>
    <t>REALIZAR VISITA A LA SEDE CIDESI NUEVO LEÓN PARA SEGUIMIENTO DE PROYECTOS, PERSONAL E INFRAESTRUCTURA ASÍ COMO REVISIÓN DE OPORTUNIDADES EN EL NORTE DEL PAÍS.</t>
  </si>
  <si>
    <t>CQ2100745</t>
  </si>
  <si>
    <t>Visita a la Sede NL para revisar estatus de infraestructura, recurso humano, proyectos actuales y oportunidades de negocio.</t>
  </si>
  <si>
    <t xml:space="preserve">Revisión de infraestructura, evaluación de recurso humano, reuniones con CIATEJ, SISAMEX, PIIT, i2t2, clientes para oportunidades de negocio. </t>
  </si>
  <si>
    <t xml:space="preserve">Evaluación de infraestructura, minutas de reuniones con (CIATEJ, PIIT, i2t2), seguimiento de proyecto de infraestructura I4.0, definición de estrategia para máquina 4RI. </t>
  </si>
  <si>
    <t>Potencializar la sede en temáticas de ingeniería mecánica, manufactura y I4.0 con ayuda de DTEYP</t>
  </si>
  <si>
    <t>BAQ210047</t>
  </si>
  <si>
    <t>CAQ210029</t>
  </si>
  <si>
    <t>Visita a la Sede NL para revisar estatus de infraestructura, recurso humano, proyectos actuales y oportunidades de negocio</t>
  </si>
  <si>
    <t>Revisión de infraestructura, evaluación de recurso humano, reuniones con clientes para oportunidades de negocio</t>
  </si>
  <si>
    <t>Evaluación de infraestructura, minutas de reuniones con clientes, seguimiento de proyecto de infraestructura</t>
  </si>
  <si>
    <t>SQ2100826</t>
  </si>
  <si>
    <t>VISITA A SEDE CIDESI CD. DEL CARMEN PARA SEGUIMIENTO A CLIENTES Y REVISIÓN DE AVANCE DE OBRA.</t>
  </si>
  <si>
    <t>CQ2100793</t>
  </si>
  <si>
    <t>Visita a la Sede Campeche para revisar estatus de infraestructura, oportunidades de negocio.</t>
  </si>
  <si>
    <t>Reuniones con clientes (COMANSUM, CIATEQ-Tabasco) para oportunidades de negocio.</t>
  </si>
  <si>
    <t xml:space="preserve">Minutas de reunión con clientes (COMANSUM, CIATEQ-Tabasco), resumen de participación y viabilidad de participación Congreso Mexicano del Petróleo. </t>
  </si>
  <si>
    <t>Potencializar la sede en temáticas de ingeniería mecánica, manufactura y petróleo.</t>
  </si>
  <si>
    <t>BAQ210052</t>
  </si>
  <si>
    <t>CAQ210034</t>
  </si>
  <si>
    <t>Reuniones con clientes para oportunidades de negocio.</t>
  </si>
  <si>
    <t>Minutas de reuniones con clientes, seguimiento de oportunidades de negocio.</t>
  </si>
  <si>
    <t>SQ2100968</t>
  </si>
  <si>
    <t>Visita a la Sede CIDESI Edo. de México para revisión de los avances de maquinados Frida, revisión de avances de proyectos FAM (geolocalización) y revisión de avances de proyectos con Crayola, Infra y Koblenz, así como atención a la reunión de la Escuela Nacional de Ventilación.</t>
  </si>
  <si>
    <t>CQ2100901</t>
  </si>
  <si>
    <t>Visita a la Sede EdoMEx para revisar estatus de infraestructura, oportunidades de negocio y avance de proyectos (FRIDA, CRAYOLA; INFRA)</t>
  </si>
  <si>
    <t>Reuniones de proyectos con gerente EdoMex y Gerente C. Mecánica para oportunidades de negocio. Atención a cita con el Cap. Ulises Reyes respecto a la oportunidad de capacitación en acreditación AS9100D en la Base Aérea de Sta. Lucía.</t>
  </si>
  <si>
    <t xml:space="preserve">Seguimiento de oportunidades de negocio y clima organizacional. </t>
  </si>
  <si>
    <t>Potencializar la sede en temáticas de ingeniería mecánica, manufactura y automatización.</t>
  </si>
  <si>
    <t>SQ2101007</t>
  </si>
  <si>
    <t>Traslado a la Base de Santa Lucia para revisión del proyecto de Geolocalización de la Sede Estado de México.</t>
  </si>
  <si>
    <t>CQ2100919</t>
  </si>
  <si>
    <t>Reunión con personal de CIDEFAM para retroalimentación del proyecto de Geolocalización dirigido por personal de la Gerencia Edo. de México.</t>
  </si>
  <si>
    <t>Reunión con personal de CIDEFAM de 10:00h a 13:00h. Entrega por parte de SEDENA del Convenio firmado del proyecto de Geolocalización.</t>
  </si>
  <si>
    <t>Se presentaron los avances técnicos conforme a lo solicitado por el CIDEFAM-SEDENA</t>
  </si>
  <si>
    <t>Contribuir al desarrollo tecnológico nacional, en el sector estratégico de defensa</t>
  </si>
  <si>
    <t>BARCENAS</t>
  </si>
  <si>
    <t>SQ2100661</t>
  </si>
  <si>
    <t>TRASLADO AL ESTADO DE SINALOA PARA REALIZAR LA APERTURA, INSTALACIÓN Y VALIDACIÓN DE VENTILADORES EN DISTINTAS CIUDADES DEL EDO.</t>
  </si>
  <si>
    <t>CQ2100619</t>
  </si>
  <si>
    <t>101057Hospedaje NacionalCQ2100</t>
  </si>
  <si>
    <t>Se realizaron actividades de ensamble y puesta a punto de los ventiladores.</t>
  </si>
  <si>
    <t>101057Alimentos NacionalesCQ21</t>
  </si>
  <si>
    <t>SQ2100689</t>
  </si>
  <si>
    <t>CQ2100870</t>
  </si>
  <si>
    <t>Se realizaron actividades de ensamble y puesta a punto de los ventiladores.  Se realizaron pagos de hotel y comidas de mi compañero jesus eduardo Casique ya que en algunos lugares no aceptaban pagar independientemente.</t>
  </si>
  <si>
    <t>SQ2100847</t>
  </si>
  <si>
    <t>Visita tecnica para levantamiento detallado a empresa Armebe en la CDMX</t>
  </si>
  <si>
    <t>CQ2100785</t>
  </si>
  <si>
    <t>Se realizo levantamiento detallado a la compañia Armebe para la cotización de un proyecto para el Area</t>
  </si>
  <si>
    <t>JHONNI</t>
  </si>
  <si>
    <t>VITAL</t>
  </si>
  <si>
    <t>SQ2100522</t>
  </si>
  <si>
    <t>Inspección de Rodillos en Cartones Ponderosa San Juan del Rio</t>
  </si>
  <si>
    <t>CQ2100465</t>
  </si>
  <si>
    <t>101099Alimentos NacionalesCQ21</t>
  </si>
  <si>
    <t>INSPECCION DE RODILLOS EN EMPRESA CARTONES PONDEROSA</t>
  </si>
  <si>
    <t>SE INSPECCIONARON LOS RODILLOS MEDIANTE PARTICULAS MAGNETICAS Y ULTRASONIDO INDUSTRIAL</t>
  </si>
  <si>
    <t>INSPECCION DE RODILLOS MEDIANTE PARTICULAS MAGNETICAS Y ULTRASONIDO INDUSTRIAL</t>
  </si>
  <si>
    <t>SQ2100533</t>
  </si>
  <si>
    <t>kINSPECCION EN EMPRESA MAZDA</t>
  </si>
  <si>
    <t>CQ2100467</t>
  </si>
  <si>
    <t>INSPECCION DE RECIPIENTES SUJETOS A PRESION DE LA EMPRESA MAZDA</t>
  </si>
  <si>
    <t>SE INSPECCIONARON LOS RECIPIENTES SUJETOS A PRESION POR MEDIO DE MEDICION DE ESPESORES Y PARTICULAS MAGNETICAS</t>
  </si>
  <si>
    <t>SQ2100545</t>
  </si>
  <si>
    <t>Inspección en MAZDA</t>
  </si>
  <si>
    <t>CQ2100468</t>
  </si>
  <si>
    <t>SQ2100557</t>
  </si>
  <si>
    <t>INSPECCIÓN DE RSP EN MAZDA</t>
  </si>
  <si>
    <t>CQ2100485</t>
  </si>
  <si>
    <t>INSPECCION DE RSP DE LA EMPRESA MAZDA</t>
  </si>
  <si>
    <t>SE INSPECCIONARON LOS RSP POR MEDIO DE MEDICION DE ESPESORES, PARTICULAS MAGNETICAS Y LIQUIDOS PENETRANTES</t>
  </si>
  <si>
    <t>SQ2100630</t>
  </si>
  <si>
    <t>CQ2100555</t>
  </si>
  <si>
    <t>101099Hospedaje NacionalCQ2100</t>
  </si>
  <si>
    <t>INSPECCION EN LA EMPRESA MAZDA</t>
  </si>
  <si>
    <t>SE INSPECCIONARON LOS RESIPIENTES SUJETOS A PRESION MEDIANTE MEDICION DE ESPESORES Y LIQUIDOS PENETRANTES</t>
  </si>
  <si>
    <t>SQ2100933</t>
  </si>
  <si>
    <t>INSPECCION DE RECIPIENTES SUJETOS A PRESION EN LA EMPRESA PROCTER &amp; GAMBLE</t>
  </si>
  <si>
    <t>CQ2100830</t>
  </si>
  <si>
    <t>Inspección de recipienntes sujetos a presión en la empresa Procter &amp; Gamble</t>
  </si>
  <si>
    <t>Se inspeccionaron los recipienntes sujetos a presión mediante medición de espesores, Partículas Mágneticas y Líquidos penetrantes y se revisó una tubería mediante Boroscopio</t>
  </si>
  <si>
    <t>COORDINADORA / COORDINADOR JURÍDICO</t>
  </si>
  <si>
    <t>COORDINACIÓN DE ELABORACIÓN Y SEGUIMIENTO DE CONTRATOS</t>
  </si>
  <si>
    <t>RUBEN FRANCISCO</t>
  </si>
  <si>
    <t>GUTIERREZ</t>
  </si>
  <si>
    <t>MACEDO</t>
  </si>
  <si>
    <t>SQ2100754</t>
  </si>
  <si>
    <t>Asistir al Juzgado Séptimo de Distrito en Materia de Amparo y Juicios Federales en el Edo. de Baja California, Exp. 737/2020, así como al Tribunal Estatal de Justicia Administrativa en B.C. Exp. 285/2020  y a la Fiscalía General.  Comb. y Lub. p/cubrir excedente de gastos: $1,482 hosp. y $750 uber</t>
  </si>
  <si>
    <t>CQ2100669</t>
  </si>
  <si>
    <t>101151Hospedaje NacionalCQ2100</t>
  </si>
  <si>
    <t>Participar en audiencia cosntitucional en juzgado de Distrito, así como visita al Tribunal Estatal de Justicia Administrativa</t>
  </si>
  <si>
    <t>se desahogan diligencias</t>
  </si>
  <si>
    <t>Se participa en Audiencia Cosntitucional</t>
  </si>
  <si>
    <t>se llevar acabo diligencias</t>
  </si>
  <si>
    <t>101151Alimentos NacionalesCQ21</t>
  </si>
  <si>
    <t>101151AutobúsCQ2100669</t>
  </si>
  <si>
    <t>101151Transporte local (taxi,</t>
  </si>
  <si>
    <t>101151Transporte local - no fi</t>
  </si>
  <si>
    <t>BAQ210041</t>
  </si>
  <si>
    <t>Asistir al Juzgado Séptimo de Distrito en Materia de Amparo y Juicios Federales en el Edo. de Baja California, Exp. 737/2020, así como al Tribunal Estatal de Justicia Administrativa en B.C. Exp. 285/2020  y a la Fiscalía General. 16 al 18 de Agosto 2021.</t>
  </si>
  <si>
    <t>CAQ210023</t>
  </si>
  <si>
    <t>101151Boletos de Avión Naciona</t>
  </si>
  <si>
    <t>Compra de boleto para viajar a la Ciudad de Tijuana Baja California para atender diversos asuntos</t>
  </si>
  <si>
    <t>Compra de boletos de avión para acudir a Tijuana Baja California</t>
  </si>
  <si>
    <t>Se logra realizar la compra del boleto de avión en tiempo y forma</t>
  </si>
  <si>
    <t>Se acudirá a Tijuana Baja California para atender asuntos respecto de la recuperación del inmueble</t>
  </si>
  <si>
    <t>FONSECA</t>
  </si>
  <si>
    <t>SQ2100647</t>
  </si>
  <si>
    <t>CQ2100580</t>
  </si>
  <si>
    <t>101232Alimentos NacionalesCQ21</t>
  </si>
  <si>
    <t>No se realizó la comisión.</t>
  </si>
  <si>
    <t>GERENTA / GERENTE DE  SEDE ESTADO DE MÉXICO</t>
  </si>
  <si>
    <t>KATHERINE</t>
  </si>
  <si>
    <t>PEÑA</t>
  </si>
  <si>
    <t>CASTILLA</t>
  </si>
  <si>
    <t>SE2100017</t>
  </si>
  <si>
    <t>Levantamiento técnico en empresa ITECNOS</t>
  </si>
  <si>
    <t>CE2100010</t>
  </si>
  <si>
    <t>101283Alimentos NacionalesCE21</t>
  </si>
  <si>
    <t>Visita a la empresa Industrias TECNOS para hacer levantamiento técnico.</t>
  </si>
  <si>
    <t>Se realizó un recorrido por el proceso que están interesados en mejorar. Nos explicaron todos los procesos y los errores que están teniendo en la produccioón. Se tuvo una reunión con todo el equipo para clarificar el proceso que seguiríamos para atendersu solicitud.</t>
  </si>
  <si>
    <t>Se atendió la solicitud del cliente. Se plantearon otras posibilidades de colaboración con CIDESI.</t>
  </si>
  <si>
    <t>Quedamos en compartir un correo indicando todos los datos técnicos que necesitamos para poder evaluar las diferentes alternativas para atender y solucionar los problemas actuales.</t>
  </si>
  <si>
    <t>FELIX</t>
  </si>
  <si>
    <t>JUAREZ</t>
  </si>
  <si>
    <t>DURAN</t>
  </si>
  <si>
    <t>SQ2100923</t>
  </si>
  <si>
    <t>Visita a bioservicios para presentación de dispositivo médico para posibilidades de licenciamiento.</t>
  </si>
  <si>
    <t>CQ2100914</t>
  </si>
  <si>
    <t>101352Alimentos NacionalesCQ21</t>
  </si>
  <si>
    <t>Presentación de dispositivo médico para posibilidades de licenciamiento.</t>
  </si>
  <si>
    <t>LARA</t>
  </si>
  <si>
    <t>TREJO</t>
  </si>
  <si>
    <t>SE2100011</t>
  </si>
  <si>
    <t>TRANSPORTAR MATERIAL DE VENTILADORES AL ALMACEN GENERAL DEL ISSSTE EN LA CD. DE MÉXICO.</t>
  </si>
  <si>
    <t>CE2100013</t>
  </si>
  <si>
    <t>101369Alimentos NacionalesCE21</t>
  </si>
  <si>
    <t>Realizar actualizacion y modificaciones al embalaje de 50 ventiladores mecanicos para traslado a CUBA</t>
  </si>
  <si>
    <t>Embalaje Desemblaje  Ponchado de mangueras de aire y oxigeno</t>
  </si>
  <si>
    <t>Se realizo la actualizacion de los 50 ventiladores y el cambio de embalaje para traslado a Cuba</t>
  </si>
  <si>
    <t>Se trabajo en el desembalaje, actualizacion de mangueras de aire y oxigeno asi como embalaje de los 50 ventiladores mecanicos</t>
  </si>
  <si>
    <t>SE2100013</t>
  </si>
  <si>
    <t>CE2100016</t>
  </si>
  <si>
    <t>Actualizar 100 ventiladores para envio a cuba</t>
  </si>
  <si>
    <t>desembalaje de 100 ventiladores, ponchado de mangueras, embalaje de manuales y equipo.</t>
  </si>
  <si>
    <t>Se actualizaron los 100 ventiladores, lo cual incluyo, cambio de tarima, calibración y embalaje</t>
  </si>
  <si>
    <t>se realizo el desembalaje, ponchado de mangueras, colocacion de manuales y emabalaje para los 100 ventiladores</t>
  </si>
  <si>
    <t>101369Transporte local (taxi,</t>
  </si>
  <si>
    <t>COORDINADORA / COORDINADOR DE SEGURIDAD, HIGIENE Y MEDIO AMBIENTE</t>
  </si>
  <si>
    <t>DAVID JERONIMO</t>
  </si>
  <si>
    <t>MONROY</t>
  </si>
  <si>
    <t>SQ2100920</t>
  </si>
  <si>
    <t>REUNIÓN CON LA COMISIÓN DE SEGURIDAD EN LA SEDE NUEVO LEÓN E IMPARTICIÓN DE CURSO DE SEGURIDAD (Manejo Seguro de Grúa Viajera)</t>
  </si>
  <si>
    <t>CQ2100902</t>
  </si>
  <si>
    <t>101594Alimentos NacionalesCQ21</t>
  </si>
  <si>
    <t>ENTREGA DE EQUIPO DE PROTECCIÓN PERSONAL EN LA SEDE, CAPACITACIÓN EN MATERIA DE COMISIÓN DE SEGURIDAD Y RECORRIDO POR LA SEDE PARA VALIDAR EL PROCESO DE ENTREGA / RECEPCIÓN DE EQUIPO DE PROTECCIÓN PERSONAL.</t>
  </si>
  <si>
    <t>RECORRIDO POR LAS INSTALACIONES DE LA SEDE PARA VALIDAR EL ESTADO QUE GUARDAN LOS EXTINTORES Y SEÑALAMIENTOS DE SEGURIDAD, EN EL ALMACEN GENERAL SE REALIZÓ EL INVENTARIO CONTRA EL ARCHIVO EN LINEA PARA CORROBORAR LA EXISTENCIA DE CANTIDADES.</t>
  </si>
  <si>
    <t>SE ENTREGÓ EL EQUIPO DE PROTECCIÓN PERSONAL NECESARIO PARA EL PERSONAL, SE CAPACITÓ A MAYRA BRIONES EN TEMAS DE LA COMISIÓN, SE REALIZÓ RECORRIDO POR LA SEDE</t>
  </si>
  <si>
    <t>SE ACTUALIZO LA DINAMICA DE ENTREGA RECEPCIÓN DE EQUIPO DE PROTECCIÓN, DE IDENTIFICARON LOS CONTENEDORES PARA REBABA METALICA.</t>
  </si>
  <si>
    <t>101594Hospedaje NacionalCQ2100</t>
  </si>
  <si>
    <t>SQ2101023</t>
  </si>
  <si>
    <t>ENTREGA DE CARPETA PARA LA JUNTA DE GOBIERNO EN CDMX</t>
  </si>
  <si>
    <t>CQ2100936</t>
  </si>
  <si>
    <t>ENTREGA DE CARPETAS PARA LA JUNTA DE GOBIERNO</t>
  </si>
  <si>
    <t>ENTREGA DE CARPETAS</t>
  </si>
  <si>
    <t>SE ENTREGARON LAS CARPETAS EN TIEMPO Y FORMA</t>
  </si>
  <si>
    <t>OTORGAR LA INFORMACIÓN A LAS ENTIDADES DE GOBIERNO CORRESPONDIENTES.</t>
  </si>
  <si>
    <t>DIRECTORA / DIRECTOR DE INGENIERÍA ELÉCTRICA Y ELECTRÓNICA</t>
  </si>
  <si>
    <t>JESUS ISRAEL</t>
  </si>
  <si>
    <t>SQ2100930</t>
  </si>
  <si>
    <t>Reunión con grupos de manufactura 4.0 en Ciudad Juárez, Chih.</t>
  </si>
  <si>
    <t>CIUDAD JUÁREZ</t>
  </si>
  <si>
    <t>CQ2100916</t>
  </si>
  <si>
    <t>101703Alimentos NacionalesCQ21</t>
  </si>
  <si>
    <t xml:space="preserve">Se participó en la reunión de Sustentabiliad y Desarrollo Económico entre México y Estados Unidos con los grupos de manufactura 4.0. </t>
  </si>
  <si>
    <t>Trabajar un plan para el desarrollo sustentable y económico de la frontera entre Estados Unidos y México</t>
  </si>
  <si>
    <t>Gestión institucional.</t>
  </si>
  <si>
    <t>101703Transporte local (taxi,</t>
  </si>
  <si>
    <t>DIRECTORA / DIRECTOR DE TECNOLOGÍAS ESTRATÉGICAS Y DEL POSGRADO</t>
  </si>
  <si>
    <t>HORACIO</t>
  </si>
  <si>
    <t>CANALES</t>
  </si>
  <si>
    <t>SILLER</t>
  </si>
  <si>
    <t>SQ2100803</t>
  </si>
  <si>
    <t>Visita a la Sede Cidesi,Nuevo León para seguimiento de proyectos personal e infraestructura, así como revisión de oportunidades.</t>
  </si>
  <si>
    <t>CQ2100759</t>
  </si>
  <si>
    <t>101721Alimentos NacionalesCQ21</t>
  </si>
  <si>
    <t>Visita a la Sede N.L. para revisión de avances, reuniones para potenciales con colaboraciones y articulaciones del equipo técnico.</t>
  </si>
  <si>
    <t>Revisión de infraestructura,visita Salas Laboratorios para show room de I4.0,,seguimiento proyectos NL,recorrido Nanotecnología – maquinaria hecha en CIDESI –depósito (CVD, NTC), comercialización Curso Lean Sales – MH Services</t>
  </si>
  <si>
    <t>Se llevó a cabo revisión de el estatus des proyecto, pulso de personal, infraestructura.,</t>
  </si>
  <si>
    <t xml:space="preserve">Se revisará con DAF – Recursos Materiales el mantenimiento de la Sede y Seguimiento mantenimiento y MAQUIA 4.0,  </t>
  </si>
  <si>
    <t>101721Transporte local - no fi</t>
  </si>
  <si>
    <t>101721Transporte local (taxi,C</t>
  </si>
  <si>
    <t>101721Hospedaje NacionalCQ2100</t>
  </si>
  <si>
    <t>BAQ210049</t>
  </si>
  <si>
    <t>CAQ210035</t>
  </si>
  <si>
    <t>101721Boletos de Avión Naciona</t>
  </si>
  <si>
    <t>Visita a la Sede N.L. para revisión de avances, reuniones para potenciales colaboraciones y articulaciones del equipo técnico.</t>
  </si>
  <si>
    <t>AUXILIAR DE SEGURIDAD, HIGIENE Y MEDIO AMBIENTE</t>
  </si>
  <si>
    <t>FELIX ARMANDO</t>
  </si>
  <si>
    <t>ZAVALA</t>
  </si>
  <si>
    <t>LEMUS</t>
  </si>
  <si>
    <t>SQ2100928</t>
  </si>
  <si>
    <t>Revisar ttemas de  seguridad e Higiene  y Medio Ambiente en la sede Nuevo León, impartiendo cursos y revisando temas con la comisión MASH,  el tema de la fauna las instalaciones, campaña de seguridad,  Revisión de extintores y Sistema de identificación de sustancias quimicas y residuos peligr</t>
  </si>
  <si>
    <t>CQ2100897</t>
  </si>
  <si>
    <t>101751Alimentos NacionalesCQ21</t>
  </si>
  <si>
    <t>Tener una reunion con la comisión para actualizar el acta de la comisión, explicar un poco de los cursos que se presentaran en la semna de la seguridad, realizzar un recorrido por el taller, mostarles el procesos que se esta llevando a cabo en queretaropara la identificación de rebaba y se pueda separa para que se a mas facil que el proveedor nos ofreca un mejor precio, explique si se genera gran cantidad de cartoón y papel como material valorizable para ver la oportunidad de aplicar el proceso de separación y reviso el almacen de equipo para ver como se encuentra de stock e prendas de protección de acuedo a lo que solicitarón.</t>
  </si>
  <si>
    <t>Realizar recorrido en las instaciones para ver el tema de identificación de la rebaba metalica que generan, compartir las etiquetas para la identificación de los diferentes tipos de rebaba etiquetar los contenedores, reviso el tema de los cebos parar ruedores en si se le ha realizado el cambio y se presento un procedimiento sobre lo que se le solicitara al proveedor en cuanto a los cebaderos y los reportes que se le solicitaran y realizo recorrido para ver las condiciones del edifico en la cual nos encionarorón problemas con goteras.</t>
  </si>
  <si>
    <t>Se tomarón evidencias de los problemas, se recogio unas batas atiestaticas que se teneia en el alamcen ya que los usurarios no las solicitaban  al igual que unos señalamientos para utilizarlos en queretaro, compartes las etiquetas para identificar contenedores de rebaba y se se presentena el procedimiento para el cambio de cebos y los que se le solicitara al proveedor.</t>
  </si>
  <si>
    <t>se compartir las etiquetas para identifiacar los tipos de rebaba y colocar en contenedores, se tomo evidencia del recorrido realizado en las instalaciones, se presento procedimiento para cedaderos de roedores.</t>
  </si>
  <si>
    <t>101751Hospedaje NacionalCQ2100</t>
  </si>
  <si>
    <t>SQ2101022</t>
  </si>
  <si>
    <t>Entrega de Carpeta de Junta de Gobierno</t>
  </si>
  <si>
    <t>CQ2100945</t>
  </si>
  <si>
    <t>Cumplir con la entrega de capetad de la Junta de Gobierno</t>
  </si>
  <si>
    <t>Realizar la entrega de de la hjunta de gobierno en las diferentes dependencias  S.H.C.P. Conacyt y la Función Publica.</t>
  </si>
  <si>
    <t>Se realizo la entrega de cara carpeta a la persona que venia  indicada, fue la S.H.C.P. Conacyt y la Función Publica</t>
  </si>
  <si>
    <t>Parcicipo en realizar la entrega de cada una de las capetar en Conacyt, S.H.Cp. y Función Publica.</t>
  </si>
  <si>
    <t>TITULAR DEL OIC</t>
  </si>
  <si>
    <t>ORGANO INTERNO DE CONTROL</t>
  </si>
  <si>
    <t>RUFINO ARTURO</t>
  </si>
  <si>
    <t>SQ2100674</t>
  </si>
  <si>
    <t>REUNIÓN DE TRABAJO CON EL COMISARIATO DEL SECTOR EDUCACIÓN Y CULTURA DE LA SECRETARÍA DE LA FUNCIÓN PÚBLICA</t>
  </si>
  <si>
    <t>CQ2100585</t>
  </si>
  <si>
    <t>101757Hospedaje NacionalCQ2100</t>
  </si>
  <si>
    <t>REUNIÓN DE TRABAJO CON EL COMISARIATO DEL SECTOR EDUCACIÓN Y CULTURA DE LA SECRETARÍA DE LA FUNCIÓN PÚBLICA. REUNIÓN DE TRABAJO CON EL ENCARGADO DE DESPACHO DEL ÓRGANO INTERNO DE CONTROL EN CONACYT.</t>
  </si>
  <si>
    <t>PARTICIPAR EN LA REUNIÓN DE TRABAJO DEL COMISARIATO DEL SECTOR EDUCACIÓN Y CULTURA DE LA SECRETARÍA DE LA FUNCIÓN PÚBLICA. PARTICIPAR EN LA REUNIÓN DE TRABAJO CON EL ENCARGADO DE DESPACHO DEL ÓRGANO INTERNO DE CONTROL EN EL CONACYT.</t>
  </si>
  <si>
    <t>REVISIÓN DE LOS ASUNTOS DE SOLICITUDES DE INFORMACIÓN CON EL COMISARIATO DEL SECTOR EDUCACIÓN Y CULTURA DE LA SECRETARÍA DE LA FUNCIÓN PÚBLICA. SEGUIMIENTO A LOS ASUNTOS DE ACUERDOS Y RECOMENDACIONES DEL COCODI Y SU REGISTRO CORRESPONDIENTE EN EL SICOCODI Y SEGUIMIENTO DE ASUNTOS DE QUEJAS CON EL ENCARGADO DE DESPACHO DEL ÓRGANO INTERNO DE CONTROL EN EL CONACYT.</t>
  </si>
  <si>
    <t>REPORTE Y SEGUIMIENTO DE LAS SOLICITUDES DE INFORMACIÓN CON EL COMISARIATO DEL SECTOR EDUCACIÓN Y CULTURA DE LA SECRETARÍA DE LA FUNCIÓN PÚBLICA. SEGUIMIENTO A LOS ASUNTOS DE ACUERDOS Y RECOMENDACIONES DEL COCODI Y SU REGISTRO CORRESPONDIENTE EN EL SICOCODI Y SEGUIMIENTO DE ASUNTOS DE QUEJAS CON EL ENCARGADO DE DESPACHO DEL ÓRGANO INTERNO DE CONTROL EN EL CONACYT.</t>
  </si>
  <si>
    <t>101757Alimentos NacionalesCQ21</t>
  </si>
  <si>
    <t>SQ2100710</t>
  </si>
  <si>
    <t>Reunión de trabajo con encargado del despeacho del OIC en CONACYT</t>
  </si>
  <si>
    <t>CQ2100644</t>
  </si>
  <si>
    <t>Reunión en el OIC de CONACYT</t>
  </si>
  <si>
    <t>101757AutobúsCQ2100644</t>
  </si>
  <si>
    <t>SQ2100902</t>
  </si>
  <si>
    <t>REUNIÓN DE TRABAJO CON EL COMISARIATO DEL SECTOR EDUCACIÓN Y CULTURA DE LA SECRETARÍA DE LA FUNCIÓN PÚBLICA. REUNIÓN DE TRABAJO EN EL ÓRGANO INTERNO DE CONTROL EN CONACYT.</t>
  </si>
  <si>
    <t>CQ2100822</t>
  </si>
  <si>
    <t>PARTICIPAR EN REUNIÓN DE TRABAJO CON EL COMISARIATO DEL SECTOR EDUCACIÓN Y CULTURA DE LA SECRETARÍA DE LA FUNCIÓN PÚBLICA. PARTICIPAR EN REUNIÓN DE TRABAJO EN EL ÓRGANO INTERNO DE CONTROL EN CONACYT.</t>
  </si>
  <si>
    <t>REVISIÓN DE ACUERDOS Y RECOMENDACIONES DE LA 3A SESIÓN 2021 DE COCODI CON EL COMISARIATO DEL SECTOR EDUCACIÓN Y CULTURA DE LA SECRETARÍA DE LA FUNCIÓN PÚBLICA Y SU REGISTRO CORRESPONDIENTE EN EL SICOCODI. SEGUIMIENTO DE ASUNTOS DEL ÓRGANO INTERNO DE CONTROL EN CIDESI CON EL ÓRGANO INTERNO DE CONTROL EN CONACYT.</t>
  </si>
  <si>
    <t>REPORTE Y SEGUIMIENTO DE LOS ACUERDOS Y RECOMENDACIONES DEL COCODI DE CIDESI CON EL COMISARIATO DEL SECTOR EDUCACIÓN Y CULTURA DE LA SECRETARÍA DE LA FUNCIÓN PÚBLICA. SEGUIMIENTO DE LOS ASUNTOS DEL ÓRGANO INTERNO DE CONTROL EN CIDESI CON EL ÓRGANO INTERNO DE CONTROL EN CONACYT.</t>
  </si>
  <si>
    <t>ALFONSO</t>
  </si>
  <si>
    <t>RAVELO</t>
  </si>
  <si>
    <t>SQ2100716</t>
  </si>
  <si>
    <t>Levantamiento del estado de las estaciones contra incendio de Matamoros y Nuevo Laredo de la empresa ASA.</t>
  </si>
  <si>
    <t>CQ2100661</t>
  </si>
  <si>
    <t>101903Hospedaje NacionalCQ2100</t>
  </si>
  <si>
    <t>Levantamiento electrico del estado de las estaciones contra incendio de Matamoros y Nuevo Laredo de la empresa ASA.</t>
  </si>
  <si>
    <t>Diagnostico del estado actual y pruebas operativas con el personal y jefe de la estacion contraincendios de los aeropuertos de Nuevo Laredo y Matamoros.</t>
  </si>
  <si>
    <t>Levantamiento visual satisfactorio del estado de las estaciones contraincendio.</t>
  </si>
  <si>
    <t>Identificacion de las areas de mejora en las estaciones contraincendios de los aeropuertos de Nuevo Laredo y Matamoros. Requerimientos necesarios para realizar el desarrollo de ingenieria de las estaciones.</t>
  </si>
  <si>
    <t>101903Alimentos NacionalesCQ21</t>
  </si>
  <si>
    <t>SQ2100976</t>
  </si>
  <si>
    <t>Reunion con gerencia de ASA en Ciudad de Mexico.</t>
  </si>
  <si>
    <t>CQ2100926</t>
  </si>
  <si>
    <t>Presentar la propuesta de reingenieria del sistema contra incendios de las estaciones de combustibles de los aeropuertos de Ciudad Obregon y Matamoros. Obtener retroalaimentacion del cliente sobre modificaciones y cambios en la estacion</t>
  </si>
  <si>
    <t>Se realizo la presentacion de la propuesta de reingenieria del sistema contra incendios de ASA en los aeropuertos de CEN y MAM.</t>
  </si>
  <si>
    <t>Propuesta aceptada y modificaciones establecidas en minuta.</t>
  </si>
  <si>
    <t>Generacion de ingenieria en nuestro centro de investigacion y desarrollo de clientes.</t>
  </si>
  <si>
    <t>COORDINADORA / COORDINADOR DE SERVICIOS GENERALES</t>
  </si>
  <si>
    <t>ISRAEL</t>
  </si>
  <si>
    <t>LECONA</t>
  </si>
  <si>
    <t>SQ2100527</t>
  </si>
  <si>
    <t>ENTREGA DE DOCUMENTOS EN CONACYT</t>
  </si>
  <si>
    <t>CQ2100479</t>
  </si>
  <si>
    <t>101906Alimentos NacionalesCQ21</t>
  </si>
  <si>
    <t>Entregar documentos a CONACYT</t>
  </si>
  <si>
    <t>Se entregan documentos en CONACYT</t>
  </si>
  <si>
    <t>Positivos</t>
  </si>
  <si>
    <t>Se realiza la entrega de documentos</t>
  </si>
  <si>
    <t>SQ2100677</t>
  </si>
  <si>
    <t>Traslado del Dr. José Pineda a la Ciudad de México</t>
  </si>
  <si>
    <t>PINEDA CASTILLO JOSE CRUZ</t>
  </si>
  <si>
    <t>CQ2100610</t>
  </si>
  <si>
    <t>BAQ210050</t>
  </si>
  <si>
    <t>RECOGER VEHICULO TSURU EN LA CIUDAD DE MERIDA Y TRASLADARLO A LA SEDE CD. DEL CARMEN</t>
  </si>
  <si>
    <t>CAQ210032</t>
  </si>
  <si>
    <t>101906Boletos de Avión Naciona</t>
  </si>
  <si>
    <t>RECOGER VEHICULO TSURU EN LA CIUDAD DE MERIDA TRASLADARLO A LA SEDE CIUDAD DEL CARMEN</t>
  </si>
  <si>
    <t>SE REALIZARA TRASLADO</t>
  </si>
  <si>
    <t>SQ2100811</t>
  </si>
  <si>
    <t>RECOGER VEHICULO TSURU EN LA CIUDAD DE MERIDA Y TRASLADARLO A LA SEDE CD. DEL CARMEN LA UNIDAD NO CUENTA CON TARJETA PARA COMBUSTIBLE</t>
  </si>
  <si>
    <t>CQ2100869</t>
  </si>
  <si>
    <t>101906Transporte local - no fi</t>
  </si>
  <si>
    <t>RECOGER AUTO TSURU DE LA CIUDAD DE MERIDA Y TRASLADARLO A LA SEDE CIDESI CIUDAD DEL CARMEN</t>
  </si>
  <si>
    <t>RECOGER AUTO EN MERIDA, REALIZAR SERVICIO DE MANTENIMIENTO, TRASLADARLO A LA SEDE CIUDAD DEL CARMEN.</t>
  </si>
  <si>
    <t>101906Hospedaje NacionalCQ2100</t>
  </si>
  <si>
    <t>101906Combustibles y lubricant</t>
  </si>
  <si>
    <t>101906CasetasCQ2100869</t>
  </si>
  <si>
    <t>HIPERVINCULO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</si>
</sst>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
    <xf numFmtId="0" fontId="0" fillId="0" borderId="0" xfId="0"/>
    <xf numFmtId="14" fontId="0" fillId="0" borderId="0" xfId="0" applyNumberFormat="1"/>
    <xf numFmtId="0" fontId="0" fillId="33"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99"/>
  <sheetViews>
    <sheetView tabSelected="1" workbookViewId="0">
      <pane ySplit="1" topLeftCell="A2" activePane="bottomLeft" state="frozen"/>
      <selection pane="bottomLeft" activeCell="AT1" sqref="AT1"/>
    </sheetView>
  </sheetViews>
  <sheetFormatPr defaultColWidth="11.19921875" defaultRowHeight="15.6" x14ac:dyDescent="0.3"/>
  <cols>
    <col min="39" max="39" width="10.796875" style="2"/>
  </cols>
  <sheetData>
    <row r="1" spans="1:47" x14ac:dyDescent="0.3">
      <c r="A1" t="s">
        <v>0</v>
      </c>
      <c r="B1" t="s">
        <v>1</v>
      </c>
      <c r="C1" t="s">
        <v>2</v>
      </c>
      <c r="D1" t="s">
        <v>3</v>
      </c>
      <c r="E1" t="s">
        <v>5</v>
      </c>
      <c r="F1" t="s">
        <v>6</v>
      </c>
      <c r="G1" t="s">
        <v>7</v>
      </c>
      <c r="H1" t="s">
        <v>8</v>
      </c>
      <c r="I1" t="s">
        <v>9</v>
      </c>
      <c r="J1" t="s">
        <v>10</v>
      </c>
      <c r="K1" t="s">
        <v>11</v>
      </c>
      <c r="L1" t="s">
        <v>12</v>
      </c>
      <c r="M1" t="s">
        <v>13</v>
      </c>
      <c r="N1" t="s">
        <v>14</v>
      </c>
      <c r="O1" t="s">
        <v>15</v>
      </c>
      <c r="P1" t="s">
        <v>16</v>
      </c>
      <c r="Q1" t="s">
        <v>17</v>
      </c>
      <c r="R1" t="s">
        <v>18</v>
      </c>
      <c r="S1" t="s">
        <v>19</v>
      </c>
      <c r="T1" t="s">
        <v>20</v>
      </c>
      <c r="U1" t="s">
        <v>21</v>
      </c>
      <c r="V1" t="s">
        <v>22</v>
      </c>
      <c r="W1" t="s">
        <v>23</v>
      </c>
      <c r="X1" t="s">
        <v>24</v>
      </c>
      <c r="Y1" t="s">
        <v>25</v>
      </c>
      <c r="Z1" t="s">
        <v>26</v>
      </c>
      <c r="AA1" t="s">
        <v>27</v>
      </c>
      <c r="AB1" t="s">
        <v>28</v>
      </c>
      <c r="AC1" t="s">
        <v>29</v>
      </c>
      <c r="AD1" t="s">
        <v>30</v>
      </c>
      <c r="AE1" t="s">
        <v>31</v>
      </c>
      <c r="AF1" t="s">
        <v>32</v>
      </c>
      <c r="AG1" t="s">
        <v>33</v>
      </c>
      <c r="AH1" t="s">
        <v>34</v>
      </c>
      <c r="AI1" t="s">
        <v>35</v>
      </c>
      <c r="AJ1" t="s">
        <v>36</v>
      </c>
      <c r="AK1" t="s">
        <v>37</v>
      </c>
      <c r="AL1" t="s">
        <v>38</v>
      </c>
      <c r="AM1" s="2" t="s">
        <v>3143</v>
      </c>
      <c r="AN1" t="s">
        <v>39</v>
      </c>
      <c r="AO1" t="s">
        <v>40</v>
      </c>
      <c r="AP1" t="s">
        <v>41</v>
      </c>
      <c r="AQ1" t="s">
        <v>42</v>
      </c>
      <c r="AR1" t="s">
        <v>43</v>
      </c>
      <c r="AS1" t="s">
        <v>44</v>
      </c>
      <c r="AT1" t="s">
        <v>45</v>
      </c>
      <c r="AU1" t="s">
        <v>46</v>
      </c>
    </row>
    <row r="2" spans="1:47" x14ac:dyDescent="0.3">
      <c r="A2" t="s">
        <v>47</v>
      </c>
      <c r="B2" t="s">
        <v>48</v>
      </c>
      <c r="C2" t="s">
        <v>49</v>
      </c>
      <c r="D2">
        <v>20</v>
      </c>
      <c r="E2" t="s">
        <v>50</v>
      </c>
      <c r="F2" t="s">
        <v>51</v>
      </c>
      <c r="G2" t="s">
        <v>52</v>
      </c>
      <c r="H2" t="s">
        <v>53</v>
      </c>
      <c r="I2" t="s">
        <v>54</v>
      </c>
      <c r="J2" t="s">
        <v>55</v>
      </c>
      <c r="K2" t="s">
        <v>56</v>
      </c>
      <c r="L2">
        <v>459</v>
      </c>
      <c r="M2" t="s">
        <v>57</v>
      </c>
      <c r="N2">
        <v>0</v>
      </c>
      <c r="O2" t="s">
        <v>58</v>
      </c>
      <c r="P2" t="s">
        <v>59</v>
      </c>
      <c r="Q2" t="s">
        <v>60</v>
      </c>
      <c r="R2" t="s">
        <v>55</v>
      </c>
      <c r="S2" s="1">
        <v>44391</v>
      </c>
      <c r="T2" s="1">
        <v>44391</v>
      </c>
      <c r="U2">
        <v>37501</v>
      </c>
      <c r="V2" t="s">
        <v>61</v>
      </c>
      <c r="W2" t="s">
        <v>62</v>
      </c>
      <c r="X2" s="1">
        <v>44393</v>
      </c>
      <c r="Y2" t="s">
        <v>63</v>
      </c>
      <c r="Z2">
        <v>374.14</v>
      </c>
      <c r="AA2">
        <v>16</v>
      </c>
      <c r="AB2">
        <v>59.86</v>
      </c>
      <c r="AC2">
        <v>43</v>
      </c>
      <c r="AD2">
        <v>477</v>
      </c>
      <c r="AE2">
        <v>477</v>
      </c>
      <c r="AF2">
        <v>783</v>
      </c>
      <c r="AG2" t="s">
        <v>64</v>
      </c>
      <c r="AH2" t="s">
        <v>65</v>
      </c>
      <c r="AI2" t="s">
        <v>65</v>
      </c>
      <c r="AJ2" t="s">
        <v>66</v>
      </c>
      <c r="AK2" t="s">
        <v>66</v>
      </c>
      <c r="AL2" t="s">
        <v>66</v>
      </c>
      <c r="AM2" s="2" t="str">
        <f>HYPERLINK("https://transparencia.cidesi.mx/comprobantes/2021/CQ2100514 /C1C17186_GGO920504SQ3_PDF.pdf")</f>
        <v>https://transparencia.cidesi.mx/comprobantes/2021/CQ2100514 /C1C17186_GGO920504SQ3_PDF.pdf</v>
      </c>
      <c r="AN2" t="str">
        <f>HYPERLINK("https://transparencia.cidesi.mx/comprobantes/2021/CQ2100514 /C1C17186_GGO920504SQ3_PDF.pdf")</f>
        <v>https://transparencia.cidesi.mx/comprobantes/2021/CQ2100514 /C1C17186_GGO920504SQ3_PDF.pdf</v>
      </c>
      <c r="AO2" t="str">
        <f>HYPERLINK("https://transparencia.cidesi.mx/comprobantes/2021/CQ2100514 /C1C17186_GGO920504SQ3_XML.xml")</f>
        <v>https://transparencia.cidesi.mx/comprobantes/2021/CQ2100514 /C1C17186_GGO920504SQ3_XML.xml</v>
      </c>
      <c r="AP2" t="s">
        <v>67</v>
      </c>
      <c r="AQ2" t="s">
        <v>68</v>
      </c>
      <c r="AR2" t="s">
        <v>69</v>
      </c>
      <c r="AS2" t="s">
        <v>70</v>
      </c>
      <c r="AT2" s="1">
        <v>44396</v>
      </c>
      <c r="AU2" s="1">
        <v>44396</v>
      </c>
    </row>
    <row r="3" spans="1:47" x14ac:dyDescent="0.3">
      <c r="A3" t="s">
        <v>47</v>
      </c>
      <c r="B3" t="s">
        <v>48</v>
      </c>
      <c r="C3" t="s">
        <v>49</v>
      </c>
      <c r="D3">
        <v>20</v>
      </c>
      <c r="E3" t="s">
        <v>50</v>
      </c>
      <c r="F3" t="s">
        <v>51</v>
      </c>
      <c r="G3" t="s">
        <v>52</v>
      </c>
      <c r="H3" t="s">
        <v>71</v>
      </c>
      <c r="I3" t="s">
        <v>54</v>
      </c>
      <c r="J3" t="s">
        <v>72</v>
      </c>
      <c r="K3" t="s">
        <v>56</v>
      </c>
      <c r="L3">
        <v>0</v>
      </c>
      <c r="M3" t="s">
        <v>73</v>
      </c>
      <c r="N3">
        <v>0</v>
      </c>
      <c r="O3" t="s">
        <v>58</v>
      </c>
      <c r="P3" t="s">
        <v>59</v>
      </c>
      <c r="Q3" t="s">
        <v>60</v>
      </c>
      <c r="R3" t="s">
        <v>72</v>
      </c>
      <c r="S3" s="1">
        <v>44433</v>
      </c>
      <c r="T3" s="1">
        <v>44433</v>
      </c>
      <c r="U3">
        <v>37501</v>
      </c>
      <c r="V3" t="s">
        <v>61</v>
      </c>
      <c r="W3" t="s">
        <v>74</v>
      </c>
      <c r="X3" s="1">
        <v>44438</v>
      </c>
      <c r="Y3" t="s">
        <v>63</v>
      </c>
      <c r="Z3">
        <v>139.66</v>
      </c>
      <c r="AA3">
        <v>16</v>
      </c>
      <c r="AB3">
        <v>22.34</v>
      </c>
      <c r="AC3">
        <v>0</v>
      </c>
      <c r="AD3">
        <v>162</v>
      </c>
      <c r="AE3">
        <v>474</v>
      </c>
      <c r="AF3">
        <v>545</v>
      </c>
      <c r="AG3" t="s">
        <v>64</v>
      </c>
      <c r="AH3" t="s">
        <v>65</v>
      </c>
      <c r="AI3" t="s">
        <v>65</v>
      </c>
      <c r="AJ3" t="s">
        <v>66</v>
      </c>
      <c r="AK3" t="s">
        <v>66</v>
      </c>
      <c r="AL3" t="s">
        <v>66</v>
      </c>
      <c r="AM3" s="2" t="str">
        <f>HYPERLINK("https://transparencia.cidesi.mx/comprobantes/2021/CQ2100707 /C1SOCTY127563_CSI0202226MV4_PDF.pdf")</f>
        <v>https://transparencia.cidesi.mx/comprobantes/2021/CQ2100707 /C1SOCTY127563_CSI0202226MV4_PDF.pdf</v>
      </c>
      <c r="AN3" t="str">
        <f>HYPERLINK("https://transparencia.cidesi.mx/comprobantes/2021/CQ2100707 /C1SOCTY127563_CSI0202226MV4_PDF.pdf")</f>
        <v>https://transparencia.cidesi.mx/comprobantes/2021/CQ2100707 /C1SOCTY127563_CSI0202226MV4_PDF.pdf</v>
      </c>
      <c r="AO3" t="str">
        <f>HYPERLINK("https://transparencia.cidesi.mx/comprobantes/2021/CQ2100707 /C1SOCTY127563_CSI0202226MV4_XML.xml")</f>
        <v>https://transparencia.cidesi.mx/comprobantes/2021/CQ2100707 /C1SOCTY127563_CSI0202226MV4_XML.xml</v>
      </c>
      <c r="AP3" t="s">
        <v>75</v>
      </c>
      <c r="AQ3" t="s">
        <v>76</v>
      </c>
      <c r="AR3" t="s">
        <v>77</v>
      </c>
      <c r="AS3" t="s">
        <v>78</v>
      </c>
      <c r="AT3" s="1">
        <v>44439</v>
      </c>
      <c r="AU3" s="1">
        <v>44440</v>
      </c>
    </row>
    <row r="4" spans="1:47" x14ac:dyDescent="0.3">
      <c r="A4" t="s">
        <v>47</v>
      </c>
      <c r="B4" t="s">
        <v>48</v>
      </c>
      <c r="C4" t="s">
        <v>49</v>
      </c>
      <c r="D4">
        <v>20</v>
      </c>
      <c r="E4" t="s">
        <v>50</v>
      </c>
      <c r="F4" t="s">
        <v>51</v>
      </c>
      <c r="G4" t="s">
        <v>52</v>
      </c>
      <c r="H4" t="s">
        <v>71</v>
      </c>
      <c r="I4" t="s">
        <v>54</v>
      </c>
      <c r="J4" t="s">
        <v>72</v>
      </c>
      <c r="K4" t="s">
        <v>56</v>
      </c>
      <c r="L4">
        <v>0</v>
      </c>
      <c r="M4" t="s">
        <v>73</v>
      </c>
      <c r="N4">
        <v>0</v>
      </c>
      <c r="O4" t="s">
        <v>58</v>
      </c>
      <c r="P4" t="s">
        <v>59</v>
      </c>
      <c r="Q4" t="s">
        <v>60</v>
      </c>
      <c r="R4" t="s">
        <v>72</v>
      </c>
      <c r="S4" s="1">
        <v>44433</v>
      </c>
      <c r="T4" s="1">
        <v>44433</v>
      </c>
      <c r="U4">
        <v>37501</v>
      </c>
      <c r="V4" t="s">
        <v>61</v>
      </c>
      <c r="W4" t="s">
        <v>74</v>
      </c>
      <c r="X4" s="1">
        <v>44438</v>
      </c>
      <c r="Y4" t="s">
        <v>63</v>
      </c>
      <c r="Z4">
        <v>244.83</v>
      </c>
      <c r="AA4">
        <v>16</v>
      </c>
      <c r="AB4">
        <v>39.17</v>
      </c>
      <c r="AC4">
        <v>28</v>
      </c>
      <c r="AD4">
        <v>312</v>
      </c>
      <c r="AE4">
        <v>474</v>
      </c>
      <c r="AF4">
        <v>545</v>
      </c>
      <c r="AG4" t="s">
        <v>64</v>
      </c>
      <c r="AH4" t="s">
        <v>65</v>
      </c>
      <c r="AI4" t="s">
        <v>65</v>
      </c>
      <c r="AJ4" t="s">
        <v>66</v>
      </c>
      <c r="AK4" t="s">
        <v>66</v>
      </c>
      <c r="AL4" t="s">
        <v>66</v>
      </c>
      <c r="AM4" s="2" t="str">
        <f>HYPERLINK("https://transparencia.cidesi.mx/comprobantes/2021/CQ2100707 /C2C-17750_GGO920504SQ3_PDF.pdf")</f>
        <v>https://transparencia.cidesi.mx/comprobantes/2021/CQ2100707 /C2C-17750_GGO920504SQ3_PDF.pdf</v>
      </c>
      <c r="AN4" t="str">
        <f>HYPERLINK("https://transparencia.cidesi.mx/comprobantes/2021/CQ2100707 /C2C-17750_GGO920504SQ3_PDF.pdf")</f>
        <v>https://transparencia.cidesi.mx/comprobantes/2021/CQ2100707 /C2C-17750_GGO920504SQ3_PDF.pdf</v>
      </c>
      <c r="AO4" t="str">
        <f>HYPERLINK("https://transparencia.cidesi.mx/comprobantes/2021/CQ2100707 /C2C-17750_GGO920504SQ3_XML.xml")</f>
        <v>https://transparencia.cidesi.mx/comprobantes/2021/CQ2100707 /C2C-17750_GGO920504SQ3_XML.xml</v>
      </c>
      <c r="AP4" t="s">
        <v>75</v>
      </c>
      <c r="AQ4" t="s">
        <v>76</v>
      </c>
      <c r="AR4" t="s">
        <v>77</v>
      </c>
      <c r="AS4" t="s">
        <v>78</v>
      </c>
      <c r="AT4" s="1">
        <v>44439</v>
      </c>
      <c r="AU4" s="1">
        <v>44440</v>
      </c>
    </row>
    <row r="5" spans="1:47" x14ac:dyDescent="0.3">
      <c r="A5" t="s">
        <v>79</v>
      </c>
      <c r="B5" t="s">
        <v>80</v>
      </c>
      <c r="C5" t="s">
        <v>81</v>
      </c>
      <c r="D5">
        <v>35</v>
      </c>
      <c r="E5" t="s">
        <v>82</v>
      </c>
      <c r="F5" t="s">
        <v>83</v>
      </c>
      <c r="G5" t="s">
        <v>84</v>
      </c>
      <c r="H5" t="s">
        <v>85</v>
      </c>
      <c r="I5" t="s">
        <v>54</v>
      </c>
      <c r="J5" t="s">
        <v>86</v>
      </c>
      <c r="K5" t="s">
        <v>56</v>
      </c>
      <c r="L5">
        <v>0</v>
      </c>
      <c r="M5" t="s">
        <v>73</v>
      </c>
      <c r="N5">
        <v>0</v>
      </c>
      <c r="O5" t="s">
        <v>58</v>
      </c>
      <c r="P5" t="s">
        <v>59</v>
      </c>
      <c r="Q5" t="s">
        <v>87</v>
      </c>
      <c r="R5" t="s">
        <v>86</v>
      </c>
      <c r="S5" s="1">
        <v>44413</v>
      </c>
      <c r="T5" s="1">
        <v>44413</v>
      </c>
      <c r="U5">
        <v>37501</v>
      </c>
      <c r="V5" t="s">
        <v>61</v>
      </c>
      <c r="W5" t="s">
        <v>88</v>
      </c>
      <c r="X5" s="1">
        <v>44414</v>
      </c>
      <c r="Y5" t="s">
        <v>63</v>
      </c>
      <c r="Z5">
        <v>309.39999999999998</v>
      </c>
      <c r="AA5">
        <v>16</v>
      </c>
      <c r="AB5">
        <v>49.5</v>
      </c>
      <c r="AC5">
        <v>0</v>
      </c>
      <c r="AD5">
        <v>358.9</v>
      </c>
      <c r="AE5">
        <v>450.9</v>
      </c>
      <c r="AF5">
        <v>545</v>
      </c>
      <c r="AG5" t="s">
        <v>89</v>
      </c>
      <c r="AH5" t="s">
        <v>66</v>
      </c>
      <c r="AI5" t="s">
        <v>65</v>
      </c>
      <c r="AJ5" t="s">
        <v>66</v>
      </c>
      <c r="AK5" t="s">
        <v>66</v>
      </c>
      <c r="AL5" t="s">
        <v>66</v>
      </c>
      <c r="AM5" s="2" t="str">
        <f>HYPERLINK("https://transparencia.cidesi.mx/comprobantes/2021/CQ2100615 /C1RLI930128AI5CFDI-559279.pdf")</f>
        <v>https://transparencia.cidesi.mx/comprobantes/2021/CQ2100615 /C1RLI930128AI5CFDI-559279.pdf</v>
      </c>
      <c r="AN5" t="str">
        <f>HYPERLINK("https://transparencia.cidesi.mx/comprobantes/2021/CQ2100615 /C1RLI930128AI5CFDI-559279.pdf")</f>
        <v>https://transparencia.cidesi.mx/comprobantes/2021/CQ2100615 /C1RLI930128AI5CFDI-559279.pdf</v>
      </c>
      <c r="AO5" t="str">
        <f>HYPERLINK("https://transparencia.cidesi.mx/comprobantes/2021/CQ2100615 /C1RLI930128AI5CFDI-559279.xml")</f>
        <v>https://transparencia.cidesi.mx/comprobantes/2021/CQ2100615 /C1RLI930128AI5CFDI-559279.xml</v>
      </c>
      <c r="AP5" t="s">
        <v>90</v>
      </c>
      <c r="AQ5" t="s">
        <v>91</v>
      </c>
      <c r="AR5" t="s">
        <v>92</v>
      </c>
      <c r="AS5" t="s">
        <v>93</v>
      </c>
      <c r="AT5" s="1">
        <v>44420</v>
      </c>
      <c r="AU5" s="1">
        <v>44424</v>
      </c>
    </row>
    <row r="6" spans="1:47" x14ac:dyDescent="0.3">
      <c r="A6" t="s">
        <v>79</v>
      </c>
      <c r="B6" t="s">
        <v>80</v>
      </c>
      <c r="C6" t="s">
        <v>81</v>
      </c>
      <c r="D6">
        <v>35</v>
      </c>
      <c r="E6" t="s">
        <v>82</v>
      </c>
      <c r="F6" t="s">
        <v>83</v>
      </c>
      <c r="G6" t="s">
        <v>84</v>
      </c>
      <c r="H6" t="s">
        <v>85</v>
      </c>
      <c r="I6" t="s">
        <v>54</v>
      </c>
      <c r="J6" t="s">
        <v>86</v>
      </c>
      <c r="K6" t="s">
        <v>56</v>
      </c>
      <c r="L6">
        <v>0</v>
      </c>
      <c r="M6" t="s">
        <v>73</v>
      </c>
      <c r="N6">
        <v>0</v>
      </c>
      <c r="O6" t="s">
        <v>58</v>
      </c>
      <c r="P6" t="s">
        <v>59</v>
      </c>
      <c r="Q6" t="s">
        <v>87</v>
      </c>
      <c r="R6" t="s">
        <v>86</v>
      </c>
      <c r="S6" s="1">
        <v>44413</v>
      </c>
      <c r="T6" s="1">
        <v>44413</v>
      </c>
      <c r="U6">
        <v>37501</v>
      </c>
      <c r="V6" t="s">
        <v>94</v>
      </c>
      <c r="W6" t="s">
        <v>88</v>
      </c>
      <c r="X6" s="1">
        <v>44414</v>
      </c>
      <c r="Y6" t="s">
        <v>63</v>
      </c>
      <c r="Z6">
        <v>79.31</v>
      </c>
      <c r="AA6">
        <v>16</v>
      </c>
      <c r="AB6">
        <v>12.69</v>
      </c>
      <c r="AC6">
        <v>0</v>
      </c>
      <c r="AD6">
        <v>92</v>
      </c>
      <c r="AE6">
        <v>450.9</v>
      </c>
      <c r="AF6">
        <v>545</v>
      </c>
      <c r="AG6" t="s">
        <v>95</v>
      </c>
      <c r="AH6" t="s">
        <v>66</v>
      </c>
      <c r="AI6" t="s">
        <v>65</v>
      </c>
      <c r="AJ6" t="s">
        <v>66</v>
      </c>
      <c r="AK6" t="s">
        <v>66</v>
      </c>
      <c r="AL6" t="s">
        <v>66</v>
      </c>
      <c r="AM6" s="2" t="str">
        <f>HYPERLINK("https://transparencia.cidesi.mx/comprobantes/2021/CQ2100615 /C259952CAC-AD98-4164-B484-FECE01C06DF6.xml")</f>
        <v>https://transparencia.cidesi.mx/comprobantes/2021/CQ2100615 /C259952CAC-AD98-4164-B484-FECE01C06DF6.xml</v>
      </c>
      <c r="AN6" t="str">
        <f>HYPERLINK("https://transparencia.cidesi.mx/comprobantes/2021/CQ2100615 /C259952CAC-AD98-4164-B484-FECE01C06DF6.xml")</f>
        <v>https://transparencia.cidesi.mx/comprobantes/2021/CQ2100615 /C259952CAC-AD98-4164-B484-FECE01C06DF6.xml</v>
      </c>
      <c r="AO6" t="str">
        <f>HYPERLINK("https://transparencia.cidesi.mx/comprobantes/2021/CQ2100615 /C259952CAC-AD98-4164-B484-FECE01C06DF6.xml")</f>
        <v>https://transparencia.cidesi.mx/comprobantes/2021/CQ2100615 /C259952CAC-AD98-4164-B484-FECE01C06DF6.xml</v>
      </c>
      <c r="AP6" t="s">
        <v>90</v>
      </c>
      <c r="AQ6" t="s">
        <v>91</v>
      </c>
      <c r="AR6" t="s">
        <v>92</v>
      </c>
      <c r="AS6" t="s">
        <v>93</v>
      </c>
      <c r="AT6" s="1">
        <v>44420</v>
      </c>
      <c r="AU6" s="1">
        <v>44424</v>
      </c>
    </row>
    <row r="7" spans="1:47" x14ac:dyDescent="0.3">
      <c r="A7" t="s">
        <v>79</v>
      </c>
      <c r="B7" t="s">
        <v>80</v>
      </c>
      <c r="C7" t="s">
        <v>81</v>
      </c>
      <c r="D7">
        <v>35</v>
      </c>
      <c r="E7" t="s">
        <v>82</v>
      </c>
      <c r="F7" t="s">
        <v>83</v>
      </c>
      <c r="G7" t="s">
        <v>84</v>
      </c>
      <c r="H7" t="s">
        <v>96</v>
      </c>
      <c r="I7" t="s">
        <v>54</v>
      </c>
      <c r="J7" t="s">
        <v>97</v>
      </c>
      <c r="K7" t="s">
        <v>56</v>
      </c>
      <c r="L7">
        <v>0</v>
      </c>
      <c r="M7" t="s">
        <v>73</v>
      </c>
      <c r="N7">
        <v>0</v>
      </c>
      <c r="O7" t="s">
        <v>58</v>
      </c>
      <c r="P7" t="s">
        <v>59</v>
      </c>
      <c r="Q7" t="s">
        <v>98</v>
      </c>
      <c r="R7" t="s">
        <v>97</v>
      </c>
      <c r="S7" s="1">
        <v>44417</v>
      </c>
      <c r="T7" s="1">
        <v>44419</v>
      </c>
      <c r="U7">
        <v>37501</v>
      </c>
      <c r="V7" t="s">
        <v>61</v>
      </c>
      <c r="W7" t="s">
        <v>99</v>
      </c>
      <c r="X7" s="1">
        <v>44420</v>
      </c>
      <c r="Y7" t="s">
        <v>100</v>
      </c>
      <c r="Z7">
        <v>418</v>
      </c>
      <c r="AA7">
        <v>16</v>
      </c>
      <c r="AB7">
        <v>67.03</v>
      </c>
      <c r="AC7">
        <v>0</v>
      </c>
      <c r="AD7">
        <v>485.03</v>
      </c>
      <c r="AE7">
        <v>2375.0300000000002</v>
      </c>
      <c r="AF7">
        <v>2727</v>
      </c>
      <c r="AG7" t="s">
        <v>89</v>
      </c>
      <c r="AH7" t="s">
        <v>65</v>
      </c>
      <c r="AI7" t="s">
        <v>65</v>
      </c>
      <c r="AJ7" t="s">
        <v>66</v>
      </c>
      <c r="AK7" t="s">
        <v>66</v>
      </c>
      <c r="AL7" t="s">
        <v>66</v>
      </c>
      <c r="AM7" s="2" t="str">
        <f>HYPERLINK("https://transparencia.cidesi.mx/comprobantes/2021/CQ2100640 /C141024619133.pdf")</f>
        <v>https://transparencia.cidesi.mx/comprobantes/2021/CQ2100640 /C141024619133.pdf</v>
      </c>
      <c r="AN7" t="str">
        <f>HYPERLINK("https://transparencia.cidesi.mx/comprobantes/2021/CQ2100640 /C141024619133.pdf")</f>
        <v>https://transparencia.cidesi.mx/comprobantes/2021/CQ2100640 /C141024619133.pdf</v>
      </c>
      <c r="AO7" t="str">
        <f>HYPERLINK("https://transparencia.cidesi.mx/comprobantes/2021/CQ2100640 /C141024619133.xml")</f>
        <v>https://transparencia.cidesi.mx/comprobantes/2021/CQ2100640 /C141024619133.xml</v>
      </c>
      <c r="AP7" t="s">
        <v>101</v>
      </c>
      <c r="AQ7" t="s">
        <v>101</v>
      </c>
      <c r="AR7" t="s">
        <v>102</v>
      </c>
      <c r="AS7" t="s">
        <v>103</v>
      </c>
      <c r="AT7" s="1">
        <v>44420</v>
      </c>
      <c r="AU7" t="s">
        <v>73</v>
      </c>
    </row>
    <row r="8" spans="1:47" x14ac:dyDescent="0.3">
      <c r="A8" t="s">
        <v>79</v>
      </c>
      <c r="B8" t="s">
        <v>80</v>
      </c>
      <c r="C8" t="s">
        <v>81</v>
      </c>
      <c r="D8">
        <v>35</v>
      </c>
      <c r="E8" t="s">
        <v>82</v>
      </c>
      <c r="F8" t="s">
        <v>83</v>
      </c>
      <c r="G8" t="s">
        <v>84</v>
      </c>
      <c r="H8" t="s">
        <v>96</v>
      </c>
      <c r="I8" t="s">
        <v>54</v>
      </c>
      <c r="J8" t="s">
        <v>97</v>
      </c>
      <c r="K8" t="s">
        <v>56</v>
      </c>
      <c r="L8">
        <v>0</v>
      </c>
      <c r="M8" t="s">
        <v>73</v>
      </c>
      <c r="N8">
        <v>0</v>
      </c>
      <c r="O8" t="s">
        <v>58</v>
      </c>
      <c r="P8" t="s">
        <v>59</v>
      </c>
      <c r="Q8" t="s">
        <v>98</v>
      </c>
      <c r="R8" t="s">
        <v>97</v>
      </c>
      <c r="S8" s="1">
        <v>44417</v>
      </c>
      <c r="T8" s="1">
        <v>44419</v>
      </c>
      <c r="U8">
        <v>37501</v>
      </c>
      <c r="V8" t="s">
        <v>61</v>
      </c>
      <c r="W8" t="s">
        <v>99</v>
      </c>
      <c r="X8" s="1">
        <v>44420</v>
      </c>
      <c r="Y8" t="s">
        <v>100</v>
      </c>
      <c r="Z8">
        <v>11.11</v>
      </c>
      <c r="AA8">
        <v>16</v>
      </c>
      <c r="AB8">
        <v>0.89</v>
      </c>
      <c r="AC8">
        <v>0</v>
      </c>
      <c r="AD8">
        <v>12</v>
      </c>
      <c r="AE8">
        <v>2375.0300000000002</v>
      </c>
      <c r="AF8">
        <v>2727</v>
      </c>
      <c r="AG8" t="s">
        <v>89</v>
      </c>
      <c r="AH8" t="s">
        <v>65</v>
      </c>
      <c r="AI8" t="s">
        <v>65</v>
      </c>
      <c r="AJ8" t="s">
        <v>66</v>
      </c>
      <c r="AK8" t="s">
        <v>66</v>
      </c>
      <c r="AL8" t="s">
        <v>66</v>
      </c>
      <c r="AM8" s="2" t="str">
        <f>HYPERLINK("https://transparencia.cidesi.mx/comprobantes/2021/CQ2100640 /C2SEM980701STA_CID840309UG7_0494_72487.pdf")</f>
        <v>https://transparencia.cidesi.mx/comprobantes/2021/CQ2100640 /C2SEM980701STA_CID840309UG7_0494_72487.pdf</v>
      </c>
      <c r="AN8" t="str">
        <f>HYPERLINK("https://transparencia.cidesi.mx/comprobantes/2021/CQ2100640 /C2SEM980701STA_CID840309UG7_0494_72487.pdf")</f>
        <v>https://transparencia.cidesi.mx/comprobantes/2021/CQ2100640 /C2SEM980701STA_CID840309UG7_0494_72487.pdf</v>
      </c>
      <c r="AO8" t="str">
        <f>HYPERLINK("https://transparencia.cidesi.mx/comprobantes/2021/CQ2100640 /C2SEM980701STA_CID840309UG7_0494_72487.xml")</f>
        <v>https://transparencia.cidesi.mx/comprobantes/2021/CQ2100640 /C2SEM980701STA_CID840309UG7_0494_72487.xml</v>
      </c>
      <c r="AP8" t="s">
        <v>101</v>
      </c>
      <c r="AQ8" t="s">
        <v>101</v>
      </c>
      <c r="AR8" t="s">
        <v>102</v>
      </c>
      <c r="AS8" t="s">
        <v>103</v>
      </c>
      <c r="AT8" s="1">
        <v>44420</v>
      </c>
      <c r="AU8" t="s">
        <v>73</v>
      </c>
    </row>
    <row r="9" spans="1:47" x14ac:dyDescent="0.3">
      <c r="A9" t="s">
        <v>79</v>
      </c>
      <c r="B9" t="s">
        <v>80</v>
      </c>
      <c r="C9" t="s">
        <v>81</v>
      </c>
      <c r="D9">
        <v>35</v>
      </c>
      <c r="E9" t="s">
        <v>82</v>
      </c>
      <c r="F9" t="s">
        <v>83</v>
      </c>
      <c r="G9" t="s">
        <v>84</v>
      </c>
      <c r="H9" t="s">
        <v>96</v>
      </c>
      <c r="I9" t="s">
        <v>54</v>
      </c>
      <c r="J9" t="s">
        <v>97</v>
      </c>
      <c r="K9" t="s">
        <v>56</v>
      </c>
      <c r="L9">
        <v>0</v>
      </c>
      <c r="M9" t="s">
        <v>73</v>
      </c>
      <c r="N9">
        <v>0</v>
      </c>
      <c r="O9" t="s">
        <v>58</v>
      </c>
      <c r="P9" t="s">
        <v>59</v>
      </c>
      <c r="Q9" t="s">
        <v>98</v>
      </c>
      <c r="R9" t="s">
        <v>97</v>
      </c>
      <c r="S9" s="1">
        <v>44417</v>
      </c>
      <c r="T9" s="1">
        <v>44419</v>
      </c>
      <c r="U9">
        <v>37501</v>
      </c>
      <c r="V9" t="s">
        <v>61</v>
      </c>
      <c r="W9" t="s">
        <v>99</v>
      </c>
      <c r="X9" s="1">
        <v>44420</v>
      </c>
      <c r="Y9" t="s">
        <v>100</v>
      </c>
      <c r="Z9">
        <v>241.38</v>
      </c>
      <c r="AA9">
        <v>16</v>
      </c>
      <c r="AB9">
        <v>38.619999999999997</v>
      </c>
      <c r="AC9">
        <v>0</v>
      </c>
      <c r="AD9">
        <v>280</v>
      </c>
      <c r="AE9">
        <v>2375.0300000000002</v>
      </c>
      <c r="AF9">
        <v>2727</v>
      </c>
      <c r="AG9" t="s">
        <v>89</v>
      </c>
      <c r="AH9" t="s">
        <v>65</v>
      </c>
      <c r="AI9" t="s">
        <v>65</v>
      </c>
      <c r="AJ9" t="s">
        <v>66</v>
      </c>
      <c r="AK9" t="s">
        <v>66</v>
      </c>
      <c r="AL9" t="s">
        <v>66</v>
      </c>
      <c r="AM9" s="2" t="str">
        <f>HYPERLINK("https://transparencia.cidesi.mx/comprobantes/2021/CQ2100640 /C3POTE00068644 09-08-2021 CENTRO DE INGENIERIA Y DESARROLLO INDUSTRIAL.pdf")</f>
        <v>https://transparencia.cidesi.mx/comprobantes/2021/CQ2100640 /C3POTE00068644 09-08-2021 CENTRO DE INGENIERIA Y DESARROLLO INDUSTRIAL.pdf</v>
      </c>
      <c r="AN9" t="str">
        <f>HYPERLINK("https://transparencia.cidesi.mx/comprobantes/2021/CQ2100640 /C3POTE00068644 09-08-2021 CENTRO DE INGENIERIA Y DESARROLLO INDUSTRIAL.pdf")</f>
        <v>https://transparencia.cidesi.mx/comprobantes/2021/CQ2100640 /C3POTE00068644 09-08-2021 CENTRO DE INGENIERIA Y DESARROLLO INDUSTRIAL.pdf</v>
      </c>
      <c r="AO9" t="str">
        <f>HYPERLINK("https://transparencia.cidesi.mx/comprobantes/2021/CQ2100640 /C3POTE00068644 09-08-2021 CENTRO DE INGENIERIA Y DESARROLLO INDUSTRIAL.xml")</f>
        <v>https://transparencia.cidesi.mx/comprobantes/2021/CQ2100640 /C3POTE00068644 09-08-2021 CENTRO DE INGENIERIA Y DESARROLLO INDUSTRIAL.xml</v>
      </c>
      <c r="AP9" t="s">
        <v>101</v>
      </c>
      <c r="AQ9" t="s">
        <v>101</v>
      </c>
      <c r="AR9" t="s">
        <v>102</v>
      </c>
      <c r="AS9" t="s">
        <v>103</v>
      </c>
      <c r="AT9" s="1">
        <v>44420</v>
      </c>
      <c r="AU9" t="s">
        <v>73</v>
      </c>
    </row>
    <row r="10" spans="1:47" x14ac:dyDescent="0.3">
      <c r="A10" t="s">
        <v>79</v>
      </c>
      <c r="B10" t="s">
        <v>80</v>
      </c>
      <c r="C10" t="s">
        <v>81</v>
      </c>
      <c r="D10">
        <v>35</v>
      </c>
      <c r="E10" t="s">
        <v>82</v>
      </c>
      <c r="F10" t="s">
        <v>83</v>
      </c>
      <c r="G10" t="s">
        <v>84</v>
      </c>
      <c r="H10" t="s">
        <v>96</v>
      </c>
      <c r="I10" t="s">
        <v>54</v>
      </c>
      <c r="J10" t="s">
        <v>97</v>
      </c>
      <c r="K10" t="s">
        <v>56</v>
      </c>
      <c r="L10">
        <v>0</v>
      </c>
      <c r="M10" t="s">
        <v>73</v>
      </c>
      <c r="N10">
        <v>0</v>
      </c>
      <c r="O10" t="s">
        <v>58</v>
      </c>
      <c r="P10" t="s">
        <v>59</v>
      </c>
      <c r="Q10" t="s">
        <v>98</v>
      </c>
      <c r="R10" t="s">
        <v>97</v>
      </c>
      <c r="S10" s="1">
        <v>44417</v>
      </c>
      <c r="T10" s="1">
        <v>44419</v>
      </c>
      <c r="U10">
        <v>37501</v>
      </c>
      <c r="V10" t="s">
        <v>104</v>
      </c>
      <c r="W10" t="s">
        <v>99</v>
      </c>
      <c r="X10" s="1">
        <v>44420</v>
      </c>
      <c r="Y10" t="s">
        <v>100</v>
      </c>
      <c r="Z10">
        <v>1342.86</v>
      </c>
      <c r="AA10">
        <v>16</v>
      </c>
      <c r="AB10">
        <v>255.14</v>
      </c>
      <c r="AC10">
        <v>0</v>
      </c>
      <c r="AD10">
        <v>1598</v>
      </c>
      <c r="AE10">
        <v>2375.0300000000002</v>
      </c>
      <c r="AF10">
        <v>2727</v>
      </c>
      <c r="AG10" t="s">
        <v>105</v>
      </c>
      <c r="AH10" t="s">
        <v>65</v>
      </c>
      <c r="AI10" t="s">
        <v>65</v>
      </c>
      <c r="AJ10" t="s">
        <v>66</v>
      </c>
      <c r="AK10" t="s">
        <v>66</v>
      </c>
      <c r="AL10" t="s">
        <v>66</v>
      </c>
      <c r="AM10" s="2" t="str">
        <f>HYPERLINK("https://transparencia.cidesi.mx/comprobantes/2021/CQ2100640 /C4E261.pdf")</f>
        <v>https://transparencia.cidesi.mx/comprobantes/2021/CQ2100640 /C4E261.pdf</v>
      </c>
      <c r="AN10" t="str">
        <f>HYPERLINK("https://transparencia.cidesi.mx/comprobantes/2021/CQ2100640 /C4E261.pdf")</f>
        <v>https://transparencia.cidesi.mx/comprobantes/2021/CQ2100640 /C4E261.pdf</v>
      </c>
      <c r="AO10" t="str">
        <f>HYPERLINK("https://transparencia.cidesi.mx/comprobantes/2021/CQ2100640 /C4E261.xml")</f>
        <v>https://transparencia.cidesi.mx/comprobantes/2021/CQ2100640 /C4E261.xml</v>
      </c>
      <c r="AP10" t="s">
        <v>101</v>
      </c>
      <c r="AQ10" t="s">
        <v>101</v>
      </c>
      <c r="AR10" t="s">
        <v>102</v>
      </c>
      <c r="AS10" t="s">
        <v>103</v>
      </c>
      <c r="AT10" s="1">
        <v>44420</v>
      </c>
      <c r="AU10" t="s">
        <v>73</v>
      </c>
    </row>
    <row r="11" spans="1:47" x14ac:dyDescent="0.3">
      <c r="A11" t="s">
        <v>79</v>
      </c>
      <c r="B11" t="s">
        <v>80</v>
      </c>
      <c r="C11" t="s">
        <v>81</v>
      </c>
      <c r="D11">
        <v>35</v>
      </c>
      <c r="E11" t="s">
        <v>82</v>
      </c>
      <c r="F11" t="s">
        <v>83</v>
      </c>
      <c r="G11" t="s">
        <v>84</v>
      </c>
      <c r="H11" t="s">
        <v>106</v>
      </c>
      <c r="I11" t="s">
        <v>54</v>
      </c>
      <c r="J11" t="s">
        <v>107</v>
      </c>
      <c r="K11" t="s">
        <v>56</v>
      </c>
      <c r="L11">
        <v>0</v>
      </c>
      <c r="M11" t="s">
        <v>73</v>
      </c>
      <c r="N11">
        <v>0</v>
      </c>
      <c r="O11" t="s">
        <v>58</v>
      </c>
      <c r="P11" t="s">
        <v>59</v>
      </c>
      <c r="Q11" t="s">
        <v>108</v>
      </c>
      <c r="R11" t="s">
        <v>107</v>
      </c>
      <c r="S11" s="1">
        <v>44421</v>
      </c>
      <c r="T11" s="1">
        <v>44421</v>
      </c>
      <c r="U11">
        <v>37501</v>
      </c>
      <c r="V11" t="s">
        <v>61</v>
      </c>
      <c r="W11" t="s">
        <v>109</v>
      </c>
      <c r="X11" s="1">
        <v>44426</v>
      </c>
      <c r="Y11" t="s">
        <v>63</v>
      </c>
      <c r="Z11">
        <v>134.69999999999999</v>
      </c>
      <c r="AA11">
        <v>16</v>
      </c>
      <c r="AB11">
        <v>21.5</v>
      </c>
      <c r="AC11">
        <v>0</v>
      </c>
      <c r="AD11">
        <v>156.19999999999999</v>
      </c>
      <c r="AE11">
        <v>436.19</v>
      </c>
      <c r="AF11">
        <v>545</v>
      </c>
      <c r="AG11" t="s">
        <v>89</v>
      </c>
      <c r="AH11" t="s">
        <v>65</v>
      </c>
      <c r="AI11" t="s">
        <v>65</v>
      </c>
      <c r="AJ11" t="s">
        <v>66</v>
      </c>
      <c r="AK11" t="s">
        <v>66</v>
      </c>
      <c r="AL11" t="s">
        <v>66</v>
      </c>
      <c r="AM11" s="2" t="str">
        <f>HYPERLINK("https://transparencia.cidesi.mx/comprobantes/2021/CQ2100663 /C1RLI930128AI5CFDI-560632.pdf")</f>
        <v>https://transparencia.cidesi.mx/comprobantes/2021/CQ2100663 /C1RLI930128AI5CFDI-560632.pdf</v>
      </c>
      <c r="AN11" t="str">
        <f>HYPERLINK("https://transparencia.cidesi.mx/comprobantes/2021/CQ2100663 /C1RLI930128AI5CFDI-560632.pdf")</f>
        <v>https://transparencia.cidesi.mx/comprobantes/2021/CQ2100663 /C1RLI930128AI5CFDI-560632.pdf</v>
      </c>
      <c r="AO11" t="str">
        <f>HYPERLINK("https://transparencia.cidesi.mx/comprobantes/2021/CQ2100663 /C1RLI930128AI5CFDI-560632.xml")</f>
        <v>https://transparencia.cidesi.mx/comprobantes/2021/CQ2100663 /C1RLI930128AI5CFDI-560632.xml</v>
      </c>
      <c r="AP11" t="s">
        <v>107</v>
      </c>
      <c r="AQ11" t="s">
        <v>107</v>
      </c>
      <c r="AR11" t="s">
        <v>102</v>
      </c>
      <c r="AS11" t="s">
        <v>110</v>
      </c>
      <c r="AT11" s="1">
        <v>44427</v>
      </c>
      <c r="AU11" s="1">
        <v>44432</v>
      </c>
    </row>
    <row r="12" spans="1:47" x14ac:dyDescent="0.3">
      <c r="A12" t="s">
        <v>79</v>
      </c>
      <c r="B12" t="s">
        <v>80</v>
      </c>
      <c r="C12" t="s">
        <v>81</v>
      </c>
      <c r="D12">
        <v>35</v>
      </c>
      <c r="E12" t="s">
        <v>82</v>
      </c>
      <c r="F12" t="s">
        <v>83</v>
      </c>
      <c r="G12" t="s">
        <v>84</v>
      </c>
      <c r="H12" t="s">
        <v>106</v>
      </c>
      <c r="I12" t="s">
        <v>54</v>
      </c>
      <c r="J12" t="s">
        <v>107</v>
      </c>
      <c r="K12" t="s">
        <v>56</v>
      </c>
      <c r="L12">
        <v>0</v>
      </c>
      <c r="M12" t="s">
        <v>73</v>
      </c>
      <c r="N12">
        <v>0</v>
      </c>
      <c r="O12" t="s">
        <v>58</v>
      </c>
      <c r="P12" t="s">
        <v>59</v>
      </c>
      <c r="Q12" t="s">
        <v>108</v>
      </c>
      <c r="R12" t="s">
        <v>107</v>
      </c>
      <c r="S12" s="1">
        <v>44421</v>
      </c>
      <c r="T12" s="1">
        <v>44421</v>
      </c>
      <c r="U12">
        <v>37501</v>
      </c>
      <c r="V12" t="s">
        <v>61</v>
      </c>
      <c r="W12" t="s">
        <v>109</v>
      </c>
      <c r="X12" s="1">
        <v>44426</v>
      </c>
      <c r="Y12" t="s">
        <v>63</v>
      </c>
      <c r="Z12">
        <v>241.37</v>
      </c>
      <c r="AA12">
        <v>16</v>
      </c>
      <c r="AB12">
        <v>38.619999999999997</v>
      </c>
      <c r="AC12">
        <v>0</v>
      </c>
      <c r="AD12">
        <v>279.99</v>
      </c>
      <c r="AE12">
        <v>436.19</v>
      </c>
      <c r="AF12">
        <v>545</v>
      </c>
      <c r="AG12" t="s">
        <v>89</v>
      </c>
      <c r="AH12" t="s">
        <v>66</v>
      </c>
      <c r="AI12" t="s">
        <v>65</v>
      </c>
      <c r="AJ12" t="s">
        <v>66</v>
      </c>
      <c r="AK12" t="s">
        <v>66</v>
      </c>
      <c r="AL12" t="s">
        <v>66</v>
      </c>
      <c r="AM12" s="2" t="str">
        <f>HYPERLINK("https://transparencia.cidesi.mx/comprobantes/2021/CQ2100663 /C2NACR830405RG2FF21154.pdf")</f>
        <v>https://transparencia.cidesi.mx/comprobantes/2021/CQ2100663 /C2NACR830405RG2FF21154.pdf</v>
      </c>
      <c r="AN12" t="str">
        <f>HYPERLINK("https://transparencia.cidesi.mx/comprobantes/2021/CQ2100663 /C2NACR830405RG2FF21154.pdf")</f>
        <v>https://transparencia.cidesi.mx/comprobantes/2021/CQ2100663 /C2NACR830405RG2FF21154.pdf</v>
      </c>
      <c r="AO12" t="str">
        <f>HYPERLINK("https://transparencia.cidesi.mx/comprobantes/2021/CQ2100663 /C2NACR830405RG2FF21154.xml")</f>
        <v>https://transparencia.cidesi.mx/comprobantes/2021/CQ2100663 /C2NACR830405RG2FF21154.xml</v>
      </c>
      <c r="AP12" t="s">
        <v>107</v>
      </c>
      <c r="AQ12" t="s">
        <v>107</v>
      </c>
      <c r="AR12" t="s">
        <v>102</v>
      </c>
      <c r="AS12" t="s">
        <v>110</v>
      </c>
      <c r="AT12" s="1">
        <v>44427</v>
      </c>
      <c r="AU12" s="1">
        <v>44432</v>
      </c>
    </row>
    <row r="13" spans="1:47" x14ac:dyDescent="0.3">
      <c r="A13" t="s">
        <v>79</v>
      </c>
      <c r="B13" t="s">
        <v>80</v>
      </c>
      <c r="C13" t="s">
        <v>81</v>
      </c>
      <c r="D13">
        <v>35</v>
      </c>
      <c r="E13" t="s">
        <v>82</v>
      </c>
      <c r="F13" t="s">
        <v>83</v>
      </c>
      <c r="G13" t="s">
        <v>84</v>
      </c>
      <c r="H13" t="s">
        <v>111</v>
      </c>
      <c r="I13" t="s">
        <v>54</v>
      </c>
      <c r="J13" t="s">
        <v>112</v>
      </c>
      <c r="K13" t="s">
        <v>56</v>
      </c>
      <c r="L13">
        <v>0</v>
      </c>
      <c r="M13" t="s">
        <v>73</v>
      </c>
      <c r="N13">
        <v>0</v>
      </c>
      <c r="O13" t="s">
        <v>58</v>
      </c>
      <c r="P13" t="s">
        <v>59</v>
      </c>
      <c r="Q13" t="s">
        <v>60</v>
      </c>
      <c r="R13" t="s">
        <v>112</v>
      </c>
      <c r="S13" s="1">
        <v>44424</v>
      </c>
      <c r="T13" s="1">
        <v>44424</v>
      </c>
      <c r="U13">
        <v>37501</v>
      </c>
      <c r="V13" t="s">
        <v>61</v>
      </c>
      <c r="W13" t="s">
        <v>113</v>
      </c>
      <c r="X13" s="1">
        <v>44428</v>
      </c>
      <c r="Y13" t="s">
        <v>63</v>
      </c>
      <c r="Z13">
        <v>301.72000000000003</v>
      </c>
      <c r="AA13">
        <v>16</v>
      </c>
      <c r="AB13">
        <v>48.28</v>
      </c>
      <c r="AC13">
        <v>0</v>
      </c>
      <c r="AD13">
        <v>350</v>
      </c>
      <c r="AE13">
        <v>479.9</v>
      </c>
      <c r="AF13">
        <v>545</v>
      </c>
      <c r="AG13" t="s">
        <v>89</v>
      </c>
      <c r="AH13" t="s">
        <v>65</v>
      </c>
      <c r="AI13" t="s">
        <v>65</v>
      </c>
      <c r="AJ13" t="s">
        <v>66</v>
      </c>
      <c r="AK13" t="s">
        <v>66</v>
      </c>
      <c r="AL13" t="s">
        <v>66</v>
      </c>
      <c r="AM13" s="2" t="str">
        <f>HYPERLINK("https://transparencia.cidesi.mx/comprobantes/2021/CQ2100670 /C1RORR791119M94_Factura_37686_2DA0B00E-0B6C-42AA-9CFC-A324A3143E34.pdf")</f>
        <v>https://transparencia.cidesi.mx/comprobantes/2021/CQ2100670 /C1RORR791119M94_Factura_37686_2DA0B00E-0B6C-42AA-9CFC-A324A3143E34.pdf</v>
      </c>
      <c r="AN13" t="str">
        <f>HYPERLINK("https://transparencia.cidesi.mx/comprobantes/2021/CQ2100670 /C1RORR791119M94_Factura_37686_2DA0B00E-0B6C-42AA-9CFC-A324A3143E34.pdf")</f>
        <v>https://transparencia.cidesi.mx/comprobantes/2021/CQ2100670 /C1RORR791119M94_Factura_37686_2DA0B00E-0B6C-42AA-9CFC-A324A3143E34.pdf</v>
      </c>
      <c r="AO13" t="str">
        <f>HYPERLINK("https://transparencia.cidesi.mx/comprobantes/2021/CQ2100670 /C1RORR791119M94_Factura_37686_2DA0B00E-0B6C-42AA-9CFC-A324A3143E34.xml")</f>
        <v>https://transparencia.cidesi.mx/comprobantes/2021/CQ2100670 /C1RORR791119M94_Factura_37686_2DA0B00E-0B6C-42AA-9CFC-A324A3143E34.xml</v>
      </c>
      <c r="AP13" t="s">
        <v>114</v>
      </c>
      <c r="AQ13" t="s">
        <v>115</v>
      </c>
      <c r="AR13" t="s">
        <v>116</v>
      </c>
      <c r="AS13" t="s">
        <v>117</v>
      </c>
      <c r="AT13" s="1">
        <v>44431</v>
      </c>
      <c r="AU13" s="1">
        <v>44432</v>
      </c>
    </row>
    <row r="14" spans="1:47" x14ac:dyDescent="0.3">
      <c r="A14" t="s">
        <v>79</v>
      </c>
      <c r="B14" t="s">
        <v>80</v>
      </c>
      <c r="C14" t="s">
        <v>81</v>
      </c>
      <c r="D14">
        <v>35</v>
      </c>
      <c r="E14" t="s">
        <v>82</v>
      </c>
      <c r="F14" t="s">
        <v>83</v>
      </c>
      <c r="G14" t="s">
        <v>84</v>
      </c>
      <c r="H14" t="s">
        <v>111</v>
      </c>
      <c r="I14" t="s">
        <v>54</v>
      </c>
      <c r="J14" t="s">
        <v>112</v>
      </c>
      <c r="K14" t="s">
        <v>56</v>
      </c>
      <c r="L14">
        <v>0</v>
      </c>
      <c r="M14" t="s">
        <v>73</v>
      </c>
      <c r="N14">
        <v>0</v>
      </c>
      <c r="O14" t="s">
        <v>58</v>
      </c>
      <c r="P14" t="s">
        <v>59</v>
      </c>
      <c r="Q14" t="s">
        <v>60</v>
      </c>
      <c r="R14" t="s">
        <v>112</v>
      </c>
      <c r="S14" s="1">
        <v>44424</v>
      </c>
      <c r="T14" s="1">
        <v>44424</v>
      </c>
      <c r="U14">
        <v>37501</v>
      </c>
      <c r="V14" t="s">
        <v>61</v>
      </c>
      <c r="W14" t="s">
        <v>113</v>
      </c>
      <c r="X14" s="1">
        <v>44428</v>
      </c>
      <c r="Y14" t="s">
        <v>63</v>
      </c>
      <c r="Z14">
        <v>112</v>
      </c>
      <c r="AA14">
        <v>16</v>
      </c>
      <c r="AB14">
        <v>17.899999999999999</v>
      </c>
      <c r="AC14">
        <v>0</v>
      </c>
      <c r="AD14">
        <v>129.9</v>
      </c>
      <c r="AE14">
        <v>479.9</v>
      </c>
      <c r="AF14">
        <v>545</v>
      </c>
      <c r="AG14" t="s">
        <v>89</v>
      </c>
      <c r="AH14" t="s">
        <v>65</v>
      </c>
      <c r="AI14" t="s">
        <v>65</v>
      </c>
      <c r="AJ14" t="s">
        <v>66</v>
      </c>
      <c r="AK14" t="s">
        <v>66</v>
      </c>
      <c r="AL14" t="s">
        <v>66</v>
      </c>
      <c r="AM14" s="2" t="str">
        <f>HYPERLINK("https://transparencia.cidesi.mx/comprobantes/2021/CQ2100670 /C2RLI930128AI5CFDI-561149.pdf")</f>
        <v>https://transparencia.cidesi.mx/comprobantes/2021/CQ2100670 /C2RLI930128AI5CFDI-561149.pdf</v>
      </c>
      <c r="AN14" t="str">
        <f>HYPERLINK("https://transparencia.cidesi.mx/comprobantes/2021/CQ2100670 /C2RLI930128AI5CFDI-561149.pdf")</f>
        <v>https://transparencia.cidesi.mx/comprobantes/2021/CQ2100670 /C2RLI930128AI5CFDI-561149.pdf</v>
      </c>
      <c r="AO14" t="str">
        <f>HYPERLINK("https://transparencia.cidesi.mx/comprobantes/2021/CQ2100670 /C2RLI930128AI5CFDI-561149.xml")</f>
        <v>https://transparencia.cidesi.mx/comprobantes/2021/CQ2100670 /C2RLI930128AI5CFDI-561149.xml</v>
      </c>
      <c r="AP14" t="s">
        <v>114</v>
      </c>
      <c r="AQ14" t="s">
        <v>115</v>
      </c>
      <c r="AR14" t="s">
        <v>116</v>
      </c>
      <c r="AS14" t="s">
        <v>117</v>
      </c>
      <c r="AT14" s="1">
        <v>44431</v>
      </c>
      <c r="AU14" s="1">
        <v>44432</v>
      </c>
    </row>
    <row r="15" spans="1:47" x14ac:dyDescent="0.3">
      <c r="A15" t="s">
        <v>79</v>
      </c>
      <c r="B15" t="s">
        <v>80</v>
      </c>
      <c r="C15" t="s">
        <v>81</v>
      </c>
      <c r="D15">
        <v>35</v>
      </c>
      <c r="E15" t="s">
        <v>82</v>
      </c>
      <c r="F15" t="s">
        <v>83</v>
      </c>
      <c r="G15" t="s">
        <v>84</v>
      </c>
      <c r="H15" t="s">
        <v>118</v>
      </c>
      <c r="I15" t="s">
        <v>54</v>
      </c>
      <c r="J15" t="s">
        <v>119</v>
      </c>
      <c r="K15" t="s">
        <v>56</v>
      </c>
      <c r="L15">
        <v>0</v>
      </c>
      <c r="M15" t="s">
        <v>73</v>
      </c>
      <c r="N15">
        <v>0</v>
      </c>
      <c r="O15" t="s">
        <v>58</v>
      </c>
      <c r="P15" t="s">
        <v>59</v>
      </c>
      <c r="Q15" t="s">
        <v>87</v>
      </c>
      <c r="R15" t="s">
        <v>119</v>
      </c>
      <c r="S15" s="1">
        <v>44427</v>
      </c>
      <c r="T15" s="1">
        <v>44427</v>
      </c>
      <c r="U15">
        <v>37501</v>
      </c>
      <c r="V15" t="s">
        <v>61</v>
      </c>
      <c r="W15" t="s">
        <v>120</v>
      </c>
      <c r="X15" s="1">
        <v>44431</v>
      </c>
      <c r="Y15" t="s">
        <v>63</v>
      </c>
      <c r="Z15">
        <v>300</v>
      </c>
      <c r="AA15">
        <v>160</v>
      </c>
      <c r="AB15">
        <v>48.7</v>
      </c>
      <c r="AC15">
        <v>0</v>
      </c>
      <c r="AD15">
        <v>348.7</v>
      </c>
      <c r="AE15">
        <v>348.7</v>
      </c>
      <c r="AF15">
        <v>545</v>
      </c>
      <c r="AG15" t="s">
        <v>89</v>
      </c>
      <c r="AH15" t="s">
        <v>65</v>
      </c>
      <c r="AI15" t="s">
        <v>65</v>
      </c>
      <c r="AJ15" t="s">
        <v>66</v>
      </c>
      <c r="AK15" t="s">
        <v>66</v>
      </c>
      <c r="AL15" t="s">
        <v>66</v>
      </c>
      <c r="AM15" s="2" t="str">
        <f>HYPERLINK("https://transparencia.cidesi.mx/comprobantes/2021/CQ2100673 /C1RLI930128AI5CFDI-561715.pdf")</f>
        <v>https://transparencia.cidesi.mx/comprobantes/2021/CQ2100673 /C1RLI930128AI5CFDI-561715.pdf</v>
      </c>
      <c r="AN15" t="str">
        <f>HYPERLINK("https://transparencia.cidesi.mx/comprobantes/2021/CQ2100673 /C1RLI930128AI5CFDI-561715.pdf")</f>
        <v>https://transparencia.cidesi.mx/comprobantes/2021/CQ2100673 /C1RLI930128AI5CFDI-561715.pdf</v>
      </c>
      <c r="AO15" t="str">
        <f>HYPERLINK("https://transparencia.cidesi.mx/comprobantes/2021/CQ2100673 /C1RLI930128AI5CFDI-561715.xml")</f>
        <v>https://transparencia.cidesi.mx/comprobantes/2021/CQ2100673 /C1RLI930128AI5CFDI-561715.xml</v>
      </c>
      <c r="AP15" t="s">
        <v>121</v>
      </c>
      <c r="AQ15" t="s">
        <v>122</v>
      </c>
      <c r="AR15" t="s">
        <v>116</v>
      </c>
      <c r="AS15" t="s">
        <v>116</v>
      </c>
      <c r="AT15" s="1">
        <v>44431</v>
      </c>
      <c r="AU15" s="1">
        <v>44432</v>
      </c>
    </row>
    <row r="16" spans="1:47" x14ac:dyDescent="0.3">
      <c r="A16" t="s">
        <v>79</v>
      </c>
      <c r="B16" t="s">
        <v>80</v>
      </c>
      <c r="C16" t="s">
        <v>81</v>
      </c>
      <c r="D16">
        <v>35</v>
      </c>
      <c r="E16" t="s">
        <v>82</v>
      </c>
      <c r="F16" t="s">
        <v>83</v>
      </c>
      <c r="G16" t="s">
        <v>84</v>
      </c>
      <c r="H16" t="s">
        <v>123</v>
      </c>
      <c r="I16" t="s">
        <v>54</v>
      </c>
      <c r="J16" t="s">
        <v>124</v>
      </c>
      <c r="K16" t="s">
        <v>56</v>
      </c>
      <c r="L16">
        <v>0</v>
      </c>
      <c r="M16" t="s">
        <v>73</v>
      </c>
      <c r="N16">
        <v>0</v>
      </c>
      <c r="O16" t="s">
        <v>58</v>
      </c>
      <c r="P16" t="s">
        <v>59</v>
      </c>
      <c r="Q16" t="s">
        <v>60</v>
      </c>
      <c r="R16" t="s">
        <v>124</v>
      </c>
      <c r="S16" s="1">
        <v>44435</v>
      </c>
      <c r="T16" s="1">
        <v>44435</v>
      </c>
      <c r="U16">
        <v>37501</v>
      </c>
      <c r="V16" t="s">
        <v>61</v>
      </c>
      <c r="W16" t="s">
        <v>125</v>
      </c>
      <c r="X16" s="1">
        <v>44438</v>
      </c>
      <c r="Y16" t="s">
        <v>63</v>
      </c>
      <c r="Z16">
        <v>278.45</v>
      </c>
      <c r="AA16">
        <v>16</v>
      </c>
      <c r="AB16">
        <v>44.55</v>
      </c>
      <c r="AC16">
        <v>33</v>
      </c>
      <c r="AD16">
        <v>356</v>
      </c>
      <c r="AE16">
        <v>356</v>
      </c>
      <c r="AF16">
        <v>545</v>
      </c>
      <c r="AG16" t="s">
        <v>89</v>
      </c>
      <c r="AH16" t="s">
        <v>65</v>
      </c>
      <c r="AI16" t="s">
        <v>65</v>
      </c>
      <c r="AJ16" t="s">
        <v>66</v>
      </c>
      <c r="AK16" t="s">
        <v>66</v>
      </c>
      <c r="AL16" t="s">
        <v>66</v>
      </c>
      <c r="AM16" s="2" t="str">
        <f>HYPERLINK("https://transparencia.cidesi.mx/comprobantes/2021/CQ2100703 /C1LAFINCA69883523.pdf")</f>
        <v>https://transparencia.cidesi.mx/comprobantes/2021/CQ2100703 /C1LAFINCA69883523.pdf</v>
      </c>
      <c r="AN16" t="str">
        <f>HYPERLINK("https://transparencia.cidesi.mx/comprobantes/2021/CQ2100703 /C1LAFINCA69883523.pdf")</f>
        <v>https://transparencia.cidesi.mx/comprobantes/2021/CQ2100703 /C1LAFINCA69883523.pdf</v>
      </c>
      <c r="AO16" t="str">
        <f>HYPERLINK("https://transparencia.cidesi.mx/comprobantes/2021/CQ2100703 /C1LAFINCA69883523.xml")</f>
        <v>https://transparencia.cidesi.mx/comprobantes/2021/CQ2100703 /C1LAFINCA69883523.xml</v>
      </c>
      <c r="AP16" t="s">
        <v>126</v>
      </c>
      <c r="AQ16" t="s">
        <v>127</v>
      </c>
      <c r="AR16" t="s">
        <v>128</v>
      </c>
      <c r="AS16" t="s">
        <v>128</v>
      </c>
      <c r="AT16" s="1">
        <v>44438</v>
      </c>
      <c r="AU16" s="1">
        <v>44442</v>
      </c>
    </row>
    <row r="17" spans="1:47" x14ac:dyDescent="0.3">
      <c r="A17" t="s">
        <v>79</v>
      </c>
      <c r="B17" t="s">
        <v>80</v>
      </c>
      <c r="C17" t="s">
        <v>81</v>
      </c>
      <c r="D17">
        <v>35</v>
      </c>
      <c r="E17" t="s">
        <v>82</v>
      </c>
      <c r="F17" t="s">
        <v>83</v>
      </c>
      <c r="G17" t="s">
        <v>84</v>
      </c>
      <c r="H17" t="s">
        <v>129</v>
      </c>
      <c r="I17" t="s">
        <v>54</v>
      </c>
      <c r="J17" t="s">
        <v>130</v>
      </c>
      <c r="K17" t="s">
        <v>56</v>
      </c>
      <c r="L17">
        <v>0</v>
      </c>
      <c r="M17" t="s">
        <v>73</v>
      </c>
      <c r="N17">
        <v>0</v>
      </c>
      <c r="O17" t="s">
        <v>58</v>
      </c>
      <c r="P17" t="s">
        <v>59</v>
      </c>
      <c r="Q17" t="s">
        <v>60</v>
      </c>
      <c r="R17" t="s">
        <v>130</v>
      </c>
      <c r="S17" s="1">
        <v>44440</v>
      </c>
      <c r="T17" s="1">
        <v>44440</v>
      </c>
      <c r="U17">
        <v>37501</v>
      </c>
      <c r="V17" t="s">
        <v>61</v>
      </c>
      <c r="W17" t="s">
        <v>131</v>
      </c>
      <c r="X17" s="1">
        <v>44442</v>
      </c>
      <c r="Y17" t="s">
        <v>63</v>
      </c>
      <c r="Z17">
        <v>301.72000000000003</v>
      </c>
      <c r="AA17">
        <v>16</v>
      </c>
      <c r="AB17">
        <v>48.28</v>
      </c>
      <c r="AC17">
        <v>0</v>
      </c>
      <c r="AD17">
        <v>350</v>
      </c>
      <c r="AE17">
        <v>350</v>
      </c>
      <c r="AF17">
        <v>545</v>
      </c>
      <c r="AG17" t="s">
        <v>89</v>
      </c>
      <c r="AH17" t="s">
        <v>65</v>
      </c>
      <c r="AI17" t="s">
        <v>65</v>
      </c>
      <c r="AJ17" t="s">
        <v>66</v>
      </c>
      <c r="AK17" t="s">
        <v>66</v>
      </c>
      <c r="AL17" t="s">
        <v>66</v>
      </c>
      <c r="AM17" s="2" t="str">
        <f>HYPERLINK("https://transparencia.cidesi.mx/comprobantes/2021/CQ2100731 /C1RORR791119M94_Factura__38078_3FFC4CF5-4F32-45A4-BA76-FF257B466500.pdf")</f>
        <v>https://transparencia.cidesi.mx/comprobantes/2021/CQ2100731 /C1RORR791119M94_Factura__38078_3FFC4CF5-4F32-45A4-BA76-FF257B466500.pdf</v>
      </c>
      <c r="AN17" t="str">
        <f>HYPERLINK("https://transparencia.cidesi.mx/comprobantes/2021/CQ2100731 /C1RORR791119M94_Factura__38078_3FFC4CF5-4F32-45A4-BA76-FF257B466500.pdf")</f>
        <v>https://transparencia.cidesi.mx/comprobantes/2021/CQ2100731 /C1RORR791119M94_Factura__38078_3FFC4CF5-4F32-45A4-BA76-FF257B466500.pdf</v>
      </c>
      <c r="AO17" t="str">
        <f>HYPERLINK("https://transparencia.cidesi.mx/comprobantes/2021/CQ2100731 /C1RORR791119M94_Factura__38078_3FFC4CF5-4F32-45A4-BA76-FF257B466500.xml")</f>
        <v>https://transparencia.cidesi.mx/comprobantes/2021/CQ2100731 /C1RORR791119M94_Factura__38078_3FFC4CF5-4F32-45A4-BA76-FF257B466500.xml</v>
      </c>
      <c r="AP17" t="s">
        <v>132</v>
      </c>
      <c r="AQ17" t="s">
        <v>133</v>
      </c>
      <c r="AR17" t="s">
        <v>116</v>
      </c>
      <c r="AS17" t="s">
        <v>134</v>
      </c>
      <c r="AT17" s="1">
        <v>44445</v>
      </c>
      <c r="AU17" s="1">
        <v>44447</v>
      </c>
    </row>
    <row r="18" spans="1:47" x14ac:dyDescent="0.3">
      <c r="A18" t="s">
        <v>79</v>
      </c>
      <c r="B18" t="s">
        <v>80</v>
      </c>
      <c r="C18" t="s">
        <v>81</v>
      </c>
      <c r="D18">
        <v>35</v>
      </c>
      <c r="E18" t="s">
        <v>82</v>
      </c>
      <c r="F18" t="s">
        <v>83</v>
      </c>
      <c r="G18" t="s">
        <v>84</v>
      </c>
      <c r="H18" t="s">
        <v>135</v>
      </c>
      <c r="I18" t="s">
        <v>54</v>
      </c>
      <c r="J18" t="s">
        <v>136</v>
      </c>
      <c r="K18" t="s">
        <v>56</v>
      </c>
      <c r="L18">
        <v>0</v>
      </c>
      <c r="M18" t="s">
        <v>73</v>
      </c>
      <c r="N18">
        <v>0</v>
      </c>
      <c r="O18" t="s">
        <v>58</v>
      </c>
      <c r="P18" t="s">
        <v>59</v>
      </c>
      <c r="Q18" t="s">
        <v>60</v>
      </c>
      <c r="R18" t="s">
        <v>136</v>
      </c>
      <c r="S18" s="1">
        <v>44444</v>
      </c>
      <c r="T18" s="1">
        <v>44444</v>
      </c>
      <c r="U18">
        <v>37501</v>
      </c>
      <c r="V18" t="s">
        <v>61</v>
      </c>
      <c r="W18" t="s">
        <v>137</v>
      </c>
      <c r="X18" s="1">
        <v>44447</v>
      </c>
      <c r="Y18" t="s">
        <v>63</v>
      </c>
      <c r="Z18">
        <v>123.3</v>
      </c>
      <c r="AA18">
        <v>16</v>
      </c>
      <c r="AB18">
        <v>19.7</v>
      </c>
      <c r="AC18">
        <v>0</v>
      </c>
      <c r="AD18">
        <v>143</v>
      </c>
      <c r="AE18">
        <v>545</v>
      </c>
      <c r="AF18">
        <v>545</v>
      </c>
      <c r="AG18" t="s">
        <v>89</v>
      </c>
      <c r="AH18" t="s">
        <v>65</v>
      </c>
      <c r="AI18" t="s">
        <v>65</v>
      </c>
      <c r="AJ18" t="s">
        <v>66</v>
      </c>
      <c r="AK18" t="s">
        <v>66</v>
      </c>
      <c r="AL18" t="s">
        <v>66</v>
      </c>
      <c r="AM18" s="2" t="str">
        <f>HYPERLINK("https://transparencia.cidesi.mx/comprobantes/2021/CQ2100757 /C1RLI930128AI5CFDI-564798.pdf")</f>
        <v>https://transparencia.cidesi.mx/comprobantes/2021/CQ2100757 /C1RLI930128AI5CFDI-564798.pdf</v>
      </c>
      <c r="AN18" t="str">
        <f>HYPERLINK("https://transparencia.cidesi.mx/comprobantes/2021/CQ2100757 /C1RLI930128AI5CFDI-564798.pdf")</f>
        <v>https://transparencia.cidesi.mx/comprobantes/2021/CQ2100757 /C1RLI930128AI5CFDI-564798.pdf</v>
      </c>
      <c r="AO18" t="str">
        <f>HYPERLINK("https://transparencia.cidesi.mx/comprobantes/2021/CQ2100757 /C1RLI930128AI5CFDI-564798.xml")</f>
        <v>https://transparencia.cidesi.mx/comprobantes/2021/CQ2100757 /C1RLI930128AI5CFDI-564798.xml</v>
      </c>
      <c r="AP18" t="s">
        <v>138</v>
      </c>
      <c r="AQ18" t="s">
        <v>139</v>
      </c>
      <c r="AR18" t="s">
        <v>116</v>
      </c>
      <c r="AS18" t="s">
        <v>140</v>
      </c>
      <c r="AT18" s="1">
        <v>44448</v>
      </c>
      <c r="AU18" s="1">
        <v>44453</v>
      </c>
    </row>
    <row r="19" spans="1:47" x14ac:dyDescent="0.3">
      <c r="A19" t="s">
        <v>79</v>
      </c>
      <c r="B19" t="s">
        <v>80</v>
      </c>
      <c r="C19" t="s">
        <v>81</v>
      </c>
      <c r="D19">
        <v>35</v>
      </c>
      <c r="E19" t="s">
        <v>82</v>
      </c>
      <c r="F19" t="s">
        <v>83</v>
      </c>
      <c r="G19" t="s">
        <v>84</v>
      </c>
      <c r="H19" t="s">
        <v>135</v>
      </c>
      <c r="I19" t="s">
        <v>54</v>
      </c>
      <c r="J19" t="s">
        <v>136</v>
      </c>
      <c r="K19" t="s">
        <v>56</v>
      </c>
      <c r="L19">
        <v>0</v>
      </c>
      <c r="M19" t="s">
        <v>73</v>
      </c>
      <c r="N19">
        <v>0</v>
      </c>
      <c r="O19" t="s">
        <v>58</v>
      </c>
      <c r="P19" t="s">
        <v>59</v>
      </c>
      <c r="Q19" t="s">
        <v>60</v>
      </c>
      <c r="R19" t="s">
        <v>136</v>
      </c>
      <c r="S19" s="1">
        <v>44444</v>
      </c>
      <c r="T19" s="1">
        <v>44444</v>
      </c>
      <c r="U19">
        <v>37501</v>
      </c>
      <c r="V19" t="s">
        <v>61</v>
      </c>
      <c r="W19" t="s">
        <v>137</v>
      </c>
      <c r="X19" s="1">
        <v>44447</v>
      </c>
      <c r="Y19" t="s">
        <v>63</v>
      </c>
      <c r="Z19">
        <v>350</v>
      </c>
      <c r="AA19">
        <v>16</v>
      </c>
      <c r="AB19">
        <v>52</v>
      </c>
      <c r="AC19">
        <v>0</v>
      </c>
      <c r="AD19">
        <v>402</v>
      </c>
      <c r="AE19">
        <v>545</v>
      </c>
      <c r="AF19">
        <v>545</v>
      </c>
      <c r="AG19" t="s">
        <v>89</v>
      </c>
      <c r="AH19" t="s">
        <v>65</v>
      </c>
      <c r="AI19" t="s">
        <v>66</v>
      </c>
      <c r="AJ19" t="s">
        <v>66</v>
      </c>
      <c r="AK19" t="s">
        <v>66</v>
      </c>
      <c r="AL19" t="s">
        <v>66</v>
      </c>
      <c r="AM19" s="2" t="s">
        <v>73</v>
      </c>
      <c r="AN19" t="s">
        <v>73</v>
      </c>
      <c r="AO19" t="s">
        <v>73</v>
      </c>
      <c r="AP19" t="s">
        <v>138</v>
      </c>
      <c r="AQ19" t="s">
        <v>139</v>
      </c>
      <c r="AR19" t="s">
        <v>116</v>
      </c>
      <c r="AS19" t="s">
        <v>140</v>
      </c>
      <c r="AT19" s="1">
        <v>44448</v>
      </c>
      <c r="AU19" s="1">
        <v>44453</v>
      </c>
    </row>
    <row r="20" spans="1:47" x14ac:dyDescent="0.3">
      <c r="A20" t="s">
        <v>79</v>
      </c>
      <c r="B20" t="s">
        <v>80</v>
      </c>
      <c r="C20" t="s">
        <v>81</v>
      </c>
      <c r="D20">
        <v>35</v>
      </c>
      <c r="E20" t="s">
        <v>82</v>
      </c>
      <c r="F20" t="s">
        <v>83</v>
      </c>
      <c r="G20" t="s">
        <v>84</v>
      </c>
      <c r="H20" t="s">
        <v>141</v>
      </c>
      <c r="I20" t="s">
        <v>54</v>
      </c>
      <c r="J20" t="s">
        <v>142</v>
      </c>
      <c r="K20" t="s">
        <v>56</v>
      </c>
      <c r="L20">
        <v>0</v>
      </c>
      <c r="M20" t="s">
        <v>73</v>
      </c>
      <c r="N20">
        <v>0</v>
      </c>
      <c r="O20" t="s">
        <v>58</v>
      </c>
      <c r="P20" t="s">
        <v>59</v>
      </c>
      <c r="Q20" t="s">
        <v>60</v>
      </c>
      <c r="R20" t="s">
        <v>142</v>
      </c>
      <c r="S20" s="1">
        <v>44445</v>
      </c>
      <c r="T20" s="1">
        <v>44445</v>
      </c>
      <c r="U20">
        <v>37501</v>
      </c>
      <c r="V20" t="s">
        <v>61</v>
      </c>
      <c r="W20" t="s">
        <v>143</v>
      </c>
      <c r="X20" s="1">
        <v>44448</v>
      </c>
      <c r="Y20" t="s">
        <v>63</v>
      </c>
      <c r="Z20">
        <v>360.34</v>
      </c>
      <c r="AA20">
        <v>16</v>
      </c>
      <c r="AB20">
        <v>57.66</v>
      </c>
      <c r="AC20">
        <v>0</v>
      </c>
      <c r="AD20">
        <v>418</v>
      </c>
      <c r="AE20">
        <v>418</v>
      </c>
      <c r="AF20">
        <v>545</v>
      </c>
      <c r="AG20" t="s">
        <v>89</v>
      </c>
      <c r="AH20" t="s">
        <v>65</v>
      </c>
      <c r="AI20" t="s">
        <v>65</v>
      </c>
      <c r="AJ20" t="s">
        <v>66</v>
      </c>
      <c r="AK20" t="s">
        <v>66</v>
      </c>
      <c r="AL20" t="s">
        <v>66</v>
      </c>
      <c r="AM20" s="2" t="str">
        <f>HYPERLINK("https://transparencia.cidesi.mx/comprobantes/2021/CQ2100760 /C1DELBOSQUERORR791119M94_Factura__37903_479DC929-C09E-4089-8638-62F7E06A01A5.pdf")</f>
        <v>https://transparencia.cidesi.mx/comprobantes/2021/CQ2100760 /C1DELBOSQUERORR791119M94_Factura__37903_479DC929-C09E-4089-8638-62F7E06A01A5.pdf</v>
      </c>
      <c r="AN20" t="str">
        <f>HYPERLINK("https://transparencia.cidesi.mx/comprobantes/2021/CQ2100760 /C1DELBOSQUERORR791119M94_Factura__37903_479DC929-C09E-4089-8638-62F7E06A01A5.pdf")</f>
        <v>https://transparencia.cidesi.mx/comprobantes/2021/CQ2100760 /C1DELBOSQUERORR791119M94_Factura__37903_479DC929-C09E-4089-8638-62F7E06A01A5.pdf</v>
      </c>
      <c r="AO20" t="str">
        <f>HYPERLINK("https://transparencia.cidesi.mx/comprobantes/2021/CQ2100760 /C1DELBOSQUERORR791119M94_Factura__37903_479DC929-C09E-4089-8638-62F7E06A01A5.xml")</f>
        <v>https://transparencia.cidesi.mx/comprobantes/2021/CQ2100760 /C1DELBOSQUERORR791119M94_Factura__37903_479DC929-C09E-4089-8638-62F7E06A01A5.xml</v>
      </c>
      <c r="AP20" t="s">
        <v>142</v>
      </c>
      <c r="AQ20" t="s">
        <v>142</v>
      </c>
      <c r="AR20" t="s">
        <v>142</v>
      </c>
      <c r="AS20" t="s">
        <v>142</v>
      </c>
      <c r="AT20" s="1">
        <v>44448</v>
      </c>
      <c r="AU20" s="1">
        <v>44452</v>
      </c>
    </row>
    <row r="21" spans="1:47" x14ac:dyDescent="0.3">
      <c r="A21" t="s">
        <v>79</v>
      </c>
      <c r="B21" t="s">
        <v>80</v>
      </c>
      <c r="C21" t="s">
        <v>81</v>
      </c>
      <c r="D21">
        <v>35</v>
      </c>
      <c r="E21" t="s">
        <v>82</v>
      </c>
      <c r="F21" t="s">
        <v>83</v>
      </c>
      <c r="G21" t="s">
        <v>84</v>
      </c>
      <c r="H21" t="s">
        <v>144</v>
      </c>
      <c r="I21" t="s">
        <v>54</v>
      </c>
      <c r="J21" t="s">
        <v>145</v>
      </c>
      <c r="K21" t="s">
        <v>56</v>
      </c>
      <c r="L21">
        <v>0</v>
      </c>
      <c r="M21" t="s">
        <v>73</v>
      </c>
      <c r="N21">
        <v>0</v>
      </c>
      <c r="O21" t="s">
        <v>58</v>
      </c>
      <c r="P21" t="s">
        <v>59</v>
      </c>
      <c r="Q21" t="s">
        <v>60</v>
      </c>
      <c r="R21" t="s">
        <v>145</v>
      </c>
      <c r="S21" s="1">
        <v>44446</v>
      </c>
      <c r="T21" s="1">
        <v>44446</v>
      </c>
      <c r="U21">
        <v>37501</v>
      </c>
      <c r="V21" t="s">
        <v>61</v>
      </c>
      <c r="W21" t="s">
        <v>146</v>
      </c>
      <c r="X21" s="1">
        <v>44448</v>
      </c>
      <c r="Y21" t="s">
        <v>63</v>
      </c>
      <c r="Z21">
        <v>375</v>
      </c>
      <c r="AA21">
        <v>16</v>
      </c>
      <c r="AB21">
        <v>60</v>
      </c>
      <c r="AC21">
        <v>0</v>
      </c>
      <c r="AD21">
        <v>435</v>
      </c>
      <c r="AE21">
        <v>435</v>
      </c>
      <c r="AF21">
        <v>545</v>
      </c>
      <c r="AG21" t="s">
        <v>89</v>
      </c>
      <c r="AH21" t="s">
        <v>65</v>
      </c>
      <c r="AI21" t="s">
        <v>65</v>
      </c>
      <c r="AJ21" t="s">
        <v>66</v>
      </c>
      <c r="AK21" t="s">
        <v>66</v>
      </c>
      <c r="AL21" t="s">
        <v>66</v>
      </c>
      <c r="AM21" s="2" t="str">
        <f>HYPERLINK("https://transparencia.cidesi.mx/comprobantes/2021/CQ2100765 /C1RORR791119M94_Factura_38180_A51CBDFB-CCAE-43C0-9C86-00186F07E8F8.pdf")</f>
        <v>https://transparencia.cidesi.mx/comprobantes/2021/CQ2100765 /C1RORR791119M94_Factura_38180_A51CBDFB-CCAE-43C0-9C86-00186F07E8F8.pdf</v>
      </c>
      <c r="AN21" t="str">
        <f>HYPERLINK("https://transparencia.cidesi.mx/comprobantes/2021/CQ2100765 /C1RORR791119M94_Factura_38180_A51CBDFB-CCAE-43C0-9C86-00186F07E8F8.pdf")</f>
        <v>https://transparencia.cidesi.mx/comprobantes/2021/CQ2100765 /C1RORR791119M94_Factura_38180_A51CBDFB-CCAE-43C0-9C86-00186F07E8F8.pdf</v>
      </c>
      <c r="AO21" t="str">
        <f>HYPERLINK("https://transparencia.cidesi.mx/comprobantes/2021/CQ2100765 /C1RORR791119M94_Factura_38180_A51CBDFB-CCAE-43C0-9C86-00186F07E8F8.xml")</f>
        <v>https://transparencia.cidesi.mx/comprobantes/2021/CQ2100765 /C1RORR791119M94_Factura_38180_A51CBDFB-CCAE-43C0-9C86-00186F07E8F8.xml</v>
      </c>
      <c r="AP21" t="s">
        <v>147</v>
      </c>
      <c r="AQ21" t="s">
        <v>148</v>
      </c>
      <c r="AR21" t="s">
        <v>116</v>
      </c>
      <c r="AS21" t="s">
        <v>149</v>
      </c>
      <c r="AT21" s="1">
        <v>44448</v>
      </c>
      <c r="AU21" s="1">
        <v>44452</v>
      </c>
    </row>
    <row r="22" spans="1:47" x14ac:dyDescent="0.3">
      <c r="A22" t="s">
        <v>79</v>
      </c>
      <c r="B22" t="s">
        <v>80</v>
      </c>
      <c r="C22" t="s">
        <v>81</v>
      </c>
      <c r="D22">
        <v>35</v>
      </c>
      <c r="E22" t="s">
        <v>82</v>
      </c>
      <c r="F22" t="s">
        <v>83</v>
      </c>
      <c r="G22" t="s">
        <v>84</v>
      </c>
      <c r="H22" t="s">
        <v>150</v>
      </c>
      <c r="I22" t="s">
        <v>54</v>
      </c>
      <c r="J22" t="s">
        <v>151</v>
      </c>
      <c r="K22" t="s">
        <v>56</v>
      </c>
      <c r="L22">
        <v>0</v>
      </c>
      <c r="M22" t="s">
        <v>73</v>
      </c>
      <c r="N22">
        <v>0</v>
      </c>
      <c r="O22" t="s">
        <v>58</v>
      </c>
      <c r="P22" t="s">
        <v>59</v>
      </c>
      <c r="Q22" t="s">
        <v>60</v>
      </c>
      <c r="R22" t="s">
        <v>151</v>
      </c>
      <c r="S22" s="1">
        <v>44459</v>
      </c>
      <c r="T22" s="1">
        <v>44459</v>
      </c>
      <c r="U22">
        <v>37501</v>
      </c>
      <c r="V22" t="s">
        <v>61</v>
      </c>
      <c r="W22" t="s">
        <v>152</v>
      </c>
      <c r="X22" s="1">
        <v>44459</v>
      </c>
      <c r="Y22" t="s">
        <v>63</v>
      </c>
      <c r="Z22">
        <v>365.52</v>
      </c>
      <c r="AA22">
        <v>16</v>
      </c>
      <c r="AB22">
        <v>58.48</v>
      </c>
      <c r="AC22">
        <v>42</v>
      </c>
      <c r="AD22">
        <v>466</v>
      </c>
      <c r="AE22">
        <v>466</v>
      </c>
      <c r="AF22">
        <v>545</v>
      </c>
      <c r="AG22" t="s">
        <v>89</v>
      </c>
      <c r="AH22" t="s">
        <v>65</v>
      </c>
      <c r="AI22" t="s">
        <v>65</v>
      </c>
      <c r="AJ22" t="s">
        <v>66</v>
      </c>
      <c r="AK22" t="s">
        <v>66</v>
      </c>
      <c r="AL22" t="s">
        <v>66</v>
      </c>
      <c r="AM22" s="2" t="str">
        <f>HYPERLINK("https://transparencia.cidesi.mx/comprobantes/2021/CQ2100839 /C1CID840309UG7FC0000018046.pdf")</f>
        <v>https://transparencia.cidesi.mx/comprobantes/2021/CQ2100839 /C1CID840309UG7FC0000018046.pdf</v>
      </c>
      <c r="AN22" t="str">
        <f>HYPERLINK("https://transparencia.cidesi.mx/comprobantes/2021/CQ2100839 /C1CID840309UG7FC0000018046.pdf")</f>
        <v>https://transparencia.cidesi.mx/comprobantes/2021/CQ2100839 /C1CID840309UG7FC0000018046.pdf</v>
      </c>
      <c r="AO22" t="str">
        <f>HYPERLINK("https://transparencia.cidesi.mx/comprobantes/2021/CQ2100839 /C1CID840309UG7FC0000018046.xml")</f>
        <v>https://transparencia.cidesi.mx/comprobantes/2021/CQ2100839 /C1CID840309UG7FC0000018046.xml</v>
      </c>
      <c r="AP22" t="s">
        <v>153</v>
      </c>
      <c r="AQ22" t="s">
        <v>154</v>
      </c>
      <c r="AR22" t="s">
        <v>116</v>
      </c>
      <c r="AS22" t="s">
        <v>155</v>
      </c>
      <c r="AT22" s="1">
        <v>44462</v>
      </c>
      <c r="AU22" s="1">
        <v>44467</v>
      </c>
    </row>
    <row r="23" spans="1:47" x14ac:dyDescent="0.3">
      <c r="A23" t="s">
        <v>79</v>
      </c>
      <c r="B23" t="s">
        <v>80</v>
      </c>
      <c r="C23" t="s">
        <v>81</v>
      </c>
      <c r="D23">
        <v>35</v>
      </c>
      <c r="E23" t="s">
        <v>82</v>
      </c>
      <c r="F23" t="s">
        <v>83</v>
      </c>
      <c r="G23" t="s">
        <v>84</v>
      </c>
      <c r="H23" t="s">
        <v>156</v>
      </c>
      <c r="I23" t="s">
        <v>54</v>
      </c>
      <c r="J23" t="s">
        <v>157</v>
      </c>
      <c r="K23" t="s">
        <v>56</v>
      </c>
      <c r="L23">
        <v>0</v>
      </c>
      <c r="M23" t="s">
        <v>73</v>
      </c>
      <c r="N23">
        <v>0</v>
      </c>
      <c r="O23" t="s">
        <v>58</v>
      </c>
      <c r="P23" t="s">
        <v>59</v>
      </c>
      <c r="Q23" t="s">
        <v>87</v>
      </c>
      <c r="R23" t="s">
        <v>157</v>
      </c>
      <c r="S23" s="1">
        <v>44460</v>
      </c>
      <c r="T23" s="1">
        <v>44460</v>
      </c>
      <c r="U23">
        <v>37501</v>
      </c>
      <c r="V23" t="s">
        <v>61</v>
      </c>
      <c r="W23" t="s">
        <v>158</v>
      </c>
      <c r="X23" s="1">
        <v>44462</v>
      </c>
      <c r="Y23" t="s">
        <v>63</v>
      </c>
      <c r="Z23">
        <v>138.79</v>
      </c>
      <c r="AA23">
        <v>16</v>
      </c>
      <c r="AB23">
        <v>22.21</v>
      </c>
      <c r="AC23">
        <v>16</v>
      </c>
      <c r="AD23">
        <v>177</v>
      </c>
      <c r="AE23">
        <v>177</v>
      </c>
      <c r="AF23">
        <v>545</v>
      </c>
      <c r="AG23" t="s">
        <v>89</v>
      </c>
      <c r="AH23" t="s">
        <v>65</v>
      </c>
      <c r="AI23" t="s">
        <v>65</v>
      </c>
      <c r="AJ23" t="s">
        <v>66</v>
      </c>
      <c r="AK23" t="s">
        <v>66</v>
      </c>
      <c r="AL23" t="s">
        <v>66</v>
      </c>
      <c r="AM23" s="2" t="str">
        <f>HYPERLINK("https://transparencia.cidesi.mx/comprobantes/2021/CQ2100866 /C170336495.pdf")</f>
        <v>https://transparencia.cidesi.mx/comprobantes/2021/CQ2100866 /C170336495.pdf</v>
      </c>
      <c r="AN23" t="str">
        <f>HYPERLINK("https://transparencia.cidesi.mx/comprobantes/2021/CQ2100866 /C170336495.pdf")</f>
        <v>https://transparencia.cidesi.mx/comprobantes/2021/CQ2100866 /C170336495.pdf</v>
      </c>
      <c r="AO23" t="str">
        <f>HYPERLINK("https://transparencia.cidesi.mx/comprobantes/2021/CQ2100866 /C170336495.xml")</f>
        <v>https://transparencia.cidesi.mx/comprobantes/2021/CQ2100866 /C170336495.xml</v>
      </c>
      <c r="AP23" t="s">
        <v>159</v>
      </c>
      <c r="AQ23" t="s">
        <v>160</v>
      </c>
      <c r="AR23" t="s">
        <v>116</v>
      </c>
      <c r="AS23" t="s">
        <v>161</v>
      </c>
      <c r="AT23" s="1">
        <v>44463</v>
      </c>
      <c r="AU23" s="1">
        <v>44470</v>
      </c>
    </row>
    <row r="24" spans="1:47" x14ac:dyDescent="0.3">
      <c r="A24" t="s">
        <v>79</v>
      </c>
      <c r="B24" t="s">
        <v>80</v>
      </c>
      <c r="C24" t="s">
        <v>81</v>
      </c>
      <c r="D24">
        <v>35</v>
      </c>
      <c r="E24" t="s">
        <v>82</v>
      </c>
      <c r="F24" t="s">
        <v>83</v>
      </c>
      <c r="G24" t="s">
        <v>84</v>
      </c>
      <c r="H24" t="s">
        <v>162</v>
      </c>
      <c r="I24" t="s">
        <v>54</v>
      </c>
      <c r="J24" t="s">
        <v>163</v>
      </c>
      <c r="K24" t="s">
        <v>56</v>
      </c>
      <c r="L24">
        <v>101703</v>
      </c>
      <c r="M24" t="s">
        <v>164</v>
      </c>
      <c r="N24">
        <v>0</v>
      </c>
      <c r="O24" t="s">
        <v>58</v>
      </c>
      <c r="P24" t="s">
        <v>59</v>
      </c>
      <c r="Q24" t="s">
        <v>60</v>
      </c>
      <c r="R24" t="s">
        <v>163</v>
      </c>
      <c r="S24" s="1">
        <v>44461</v>
      </c>
      <c r="T24" s="1">
        <v>44461</v>
      </c>
      <c r="U24">
        <v>37501</v>
      </c>
      <c r="V24" t="s">
        <v>61</v>
      </c>
      <c r="W24" t="s">
        <v>165</v>
      </c>
      <c r="X24" s="1">
        <v>44462</v>
      </c>
      <c r="Y24" t="s">
        <v>63</v>
      </c>
      <c r="Z24">
        <v>336.21</v>
      </c>
      <c r="AA24">
        <v>16</v>
      </c>
      <c r="AB24">
        <v>53.79</v>
      </c>
      <c r="AC24">
        <v>0</v>
      </c>
      <c r="AD24">
        <v>390</v>
      </c>
      <c r="AE24">
        <v>390</v>
      </c>
      <c r="AF24">
        <v>1034</v>
      </c>
      <c r="AG24" t="s">
        <v>89</v>
      </c>
      <c r="AH24" t="s">
        <v>65</v>
      </c>
      <c r="AI24" t="s">
        <v>65</v>
      </c>
      <c r="AJ24" t="s">
        <v>66</v>
      </c>
      <c r="AK24" t="s">
        <v>66</v>
      </c>
      <c r="AL24" t="s">
        <v>66</v>
      </c>
      <c r="AM24" s="2" t="str">
        <f>HYPERLINK("https://transparencia.cidesi.mx/comprobantes/2021/CQ2100868 /C1RORR791119M94_Factura__38572_E9B2702D-E9C1-4257-B01F-51FDBD4B2E37.pdf")</f>
        <v>https://transparencia.cidesi.mx/comprobantes/2021/CQ2100868 /C1RORR791119M94_Factura__38572_E9B2702D-E9C1-4257-B01F-51FDBD4B2E37.pdf</v>
      </c>
      <c r="AN24" t="str">
        <f>HYPERLINK("https://transparencia.cidesi.mx/comprobantes/2021/CQ2100868 /C1RORR791119M94_Factura__38572_E9B2702D-E9C1-4257-B01F-51FDBD4B2E37.pdf")</f>
        <v>https://transparencia.cidesi.mx/comprobantes/2021/CQ2100868 /C1RORR791119M94_Factura__38572_E9B2702D-E9C1-4257-B01F-51FDBD4B2E37.pdf</v>
      </c>
      <c r="AO24" t="str">
        <f>HYPERLINK("https://transparencia.cidesi.mx/comprobantes/2021/CQ2100868 /C1RORR791119M94_Factura__38572_E9B2702D-E9C1-4257-B01F-51FDBD4B2E37.xml")</f>
        <v>https://transparencia.cidesi.mx/comprobantes/2021/CQ2100868 /C1RORR791119M94_Factura__38572_E9B2702D-E9C1-4257-B01F-51FDBD4B2E37.xml</v>
      </c>
      <c r="AP24" t="s">
        <v>166</v>
      </c>
      <c r="AQ24" t="s">
        <v>167</v>
      </c>
      <c r="AR24" t="s">
        <v>116</v>
      </c>
      <c r="AS24" t="s">
        <v>168</v>
      </c>
      <c r="AT24" s="1">
        <v>44463</v>
      </c>
      <c r="AU24" s="1">
        <v>44470</v>
      </c>
    </row>
    <row r="25" spans="1:47" x14ac:dyDescent="0.3">
      <c r="A25" t="s">
        <v>79</v>
      </c>
      <c r="B25" t="s">
        <v>80</v>
      </c>
      <c r="C25" t="s">
        <v>81</v>
      </c>
      <c r="D25">
        <v>35</v>
      </c>
      <c r="E25" t="s">
        <v>82</v>
      </c>
      <c r="F25" t="s">
        <v>83</v>
      </c>
      <c r="G25" t="s">
        <v>84</v>
      </c>
      <c r="H25" t="s">
        <v>169</v>
      </c>
      <c r="I25" t="s">
        <v>54</v>
      </c>
      <c r="J25" t="s">
        <v>170</v>
      </c>
      <c r="K25" t="s">
        <v>56</v>
      </c>
      <c r="L25">
        <v>101703</v>
      </c>
      <c r="M25" t="s">
        <v>164</v>
      </c>
      <c r="N25">
        <v>0</v>
      </c>
      <c r="O25" t="s">
        <v>58</v>
      </c>
      <c r="P25" t="s">
        <v>59</v>
      </c>
      <c r="Q25" t="s">
        <v>60</v>
      </c>
      <c r="R25" t="s">
        <v>170</v>
      </c>
      <c r="S25" s="1">
        <v>44463</v>
      </c>
      <c r="T25" s="1">
        <v>44463</v>
      </c>
      <c r="U25">
        <v>37501</v>
      </c>
      <c r="V25" t="s">
        <v>61</v>
      </c>
      <c r="W25" t="s">
        <v>171</v>
      </c>
      <c r="X25" s="1">
        <v>44466</v>
      </c>
      <c r="Y25" t="s">
        <v>63</v>
      </c>
      <c r="Z25">
        <v>400.7</v>
      </c>
      <c r="AA25">
        <v>16</v>
      </c>
      <c r="AB25">
        <v>64.099999999999994</v>
      </c>
      <c r="AC25">
        <v>0</v>
      </c>
      <c r="AD25">
        <v>464.8</v>
      </c>
      <c r="AE25">
        <v>464.8</v>
      </c>
      <c r="AF25">
        <v>1034</v>
      </c>
      <c r="AG25" t="s">
        <v>89</v>
      </c>
      <c r="AH25" t="s">
        <v>65</v>
      </c>
      <c r="AI25" t="s">
        <v>65</v>
      </c>
      <c r="AJ25" t="s">
        <v>66</v>
      </c>
      <c r="AK25" t="s">
        <v>66</v>
      </c>
      <c r="AL25" t="s">
        <v>66</v>
      </c>
      <c r="AM25" s="2" t="str">
        <f>HYPERLINK("https://transparencia.cidesi.mx/comprobantes/2021/CQ2100884 /C1RLI930128AI5CFDI-568121.pdf")</f>
        <v>https://transparencia.cidesi.mx/comprobantes/2021/CQ2100884 /C1RLI930128AI5CFDI-568121.pdf</v>
      </c>
      <c r="AN25" t="str">
        <f>HYPERLINK("https://transparencia.cidesi.mx/comprobantes/2021/CQ2100884 /C1RLI930128AI5CFDI-568121.pdf")</f>
        <v>https://transparencia.cidesi.mx/comprobantes/2021/CQ2100884 /C1RLI930128AI5CFDI-568121.pdf</v>
      </c>
      <c r="AO25" t="str">
        <f>HYPERLINK("https://transparencia.cidesi.mx/comprobantes/2021/CQ2100884 /C1RLI930128AI5CFDI-568121.xml")</f>
        <v>https://transparencia.cidesi.mx/comprobantes/2021/CQ2100884 /C1RLI930128AI5CFDI-568121.xml</v>
      </c>
      <c r="AP25" t="s">
        <v>172</v>
      </c>
      <c r="AQ25" t="s">
        <v>173</v>
      </c>
      <c r="AR25" t="s">
        <v>116</v>
      </c>
      <c r="AS25" t="s">
        <v>174</v>
      </c>
      <c r="AT25" s="1">
        <v>44466</v>
      </c>
      <c r="AU25" s="1">
        <v>44470</v>
      </c>
    </row>
    <row r="26" spans="1:47" x14ac:dyDescent="0.3">
      <c r="A26" t="s">
        <v>79</v>
      </c>
      <c r="B26" t="s">
        <v>80</v>
      </c>
      <c r="C26" t="s">
        <v>81</v>
      </c>
      <c r="D26">
        <v>35</v>
      </c>
      <c r="E26" t="s">
        <v>82</v>
      </c>
      <c r="F26" t="s">
        <v>83</v>
      </c>
      <c r="G26" t="s">
        <v>84</v>
      </c>
      <c r="H26" t="s">
        <v>175</v>
      </c>
      <c r="I26" t="s">
        <v>54</v>
      </c>
      <c r="J26" t="s">
        <v>176</v>
      </c>
      <c r="K26" t="s">
        <v>56</v>
      </c>
      <c r="L26">
        <v>0</v>
      </c>
      <c r="M26" t="s">
        <v>73</v>
      </c>
      <c r="N26">
        <v>0</v>
      </c>
      <c r="O26" t="s">
        <v>58</v>
      </c>
      <c r="P26" t="s">
        <v>59</v>
      </c>
      <c r="Q26" t="s">
        <v>108</v>
      </c>
      <c r="R26" t="s">
        <v>176</v>
      </c>
      <c r="S26" s="1">
        <v>44468</v>
      </c>
      <c r="T26" s="1">
        <v>44468</v>
      </c>
      <c r="U26">
        <v>37501</v>
      </c>
      <c r="V26" t="s">
        <v>61</v>
      </c>
      <c r="W26" t="s">
        <v>177</v>
      </c>
      <c r="X26" s="1">
        <v>44469</v>
      </c>
      <c r="Y26" t="s">
        <v>63</v>
      </c>
      <c r="Z26">
        <v>0.01</v>
      </c>
      <c r="AA26">
        <v>0</v>
      </c>
      <c r="AB26">
        <v>0</v>
      </c>
      <c r="AC26">
        <v>0</v>
      </c>
      <c r="AD26">
        <v>0.01</v>
      </c>
      <c r="AE26">
        <v>0.01</v>
      </c>
      <c r="AF26">
        <v>545</v>
      </c>
      <c r="AG26" t="s">
        <v>89</v>
      </c>
      <c r="AH26" t="s">
        <v>66</v>
      </c>
      <c r="AI26" t="s">
        <v>66</v>
      </c>
      <c r="AJ26" t="s">
        <v>66</v>
      </c>
      <c r="AK26" t="s">
        <v>66</v>
      </c>
      <c r="AL26" t="s">
        <v>66</v>
      </c>
      <c r="AM26" s="2" t="s">
        <v>73</v>
      </c>
      <c r="AN26" t="s">
        <v>73</v>
      </c>
      <c r="AO26" t="s">
        <v>73</v>
      </c>
      <c r="AP26" t="s">
        <v>178</v>
      </c>
      <c r="AQ26" t="s">
        <v>179</v>
      </c>
      <c r="AR26" t="s">
        <v>116</v>
      </c>
      <c r="AS26" t="s">
        <v>180</v>
      </c>
      <c r="AT26" s="1">
        <v>44470</v>
      </c>
      <c r="AU26" s="1">
        <v>44473</v>
      </c>
    </row>
    <row r="27" spans="1:47" x14ac:dyDescent="0.3">
      <c r="A27" t="s">
        <v>181</v>
      </c>
      <c r="B27" t="s">
        <v>182</v>
      </c>
      <c r="C27" t="s">
        <v>183</v>
      </c>
      <c r="D27">
        <v>38</v>
      </c>
      <c r="E27" t="s">
        <v>184</v>
      </c>
      <c r="F27" t="s">
        <v>185</v>
      </c>
      <c r="G27" t="s">
        <v>186</v>
      </c>
      <c r="H27" t="s">
        <v>187</v>
      </c>
      <c r="I27" t="s">
        <v>54</v>
      </c>
      <c r="J27" t="s">
        <v>188</v>
      </c>
      <c r="K27" t="s">
        <v>56</v>
      </c>
      <c r="L27">
        <v>0</v>
      </c>
      <c r="M27" t="s">
        <v>73</v>
      </c>
      <c r="N27">
        <v>0</v>
      </c>
      <c r="O27" t="s">
        <v>58</v>
      </c>
      <c r="P27" t="s">
        <v>59</v>
      </c>
      <c r="Q27" t="s">
        <v>189</v>
      </c>
      <c r="R27" t="s">
        <v>188</v>
      </c>
      <c r="S27" s="1">
        <v>44405</v>
      </c>
      <c r="T27" s="1">
        <v>44405</v>
      </c>
      <c r="U27">
        <v>32502</v>
      </c>
      <c r="V27" t="s">
        <v>190</v>
      </c>
      <c r="W27" t="s">
        <v>191</v>
      </c>
      <c r="X27" s="1">
        <v>44407</v>
      </c>
      <c r="Y27" t="s">
        <v>63</v>
      </c>
      <c r="Z27">
        <v>9073.2800000000007</v>
      </c>
      <c r="AA27">
        <v>16</v>
      </c>
      <c r="AB27">
        <v>1451.72</v>
      </c>
      <c r="AC27">
        <v>0</v>
      </c>
      <c r="AD27">
        <v>10525</v>
      </c>
      <c r="AE27">
        <v>10525</v>
      </c>
      <c r="AF27">
        <v>0</v>
      </c>
      <c r="AG27" t="s">
        <v>192</v>
      </c>
      <c r="AH27" t="s">
        <v>66</v>
      </c>
      <c r="AI27" t="s">
        <v>65</v>
      </c>
      <c r="AJ27" t="s">
        <v>66</v>
      </c>
      <c r="AK27" t="s">
        <v>66</v>
      </c>
      <c r="AL27" t="s">
        <v>66</v>
      </c>
      <c r="AM27" s="2" t="str">
        <f>HYPERLINK("https://transparencia.cidesi.mx/comprobantes/2021/CQ2100572 /C2FPI215581_BFE030305D39.pdf")</f>
        <v>https://transparencia.cidesi.mx/comprobantes/2021/CQ2100572 /C2FPI215581_BFE030305D39.pdf</v>
      </c>
      <c r="AN27" t="str">
        <f>HYPERLINK("https://transparencia.cidesi.mx/comprobantes/2021/CQ2100572 /C2FPI215581_BFE030305D39.pdf")</f>
        <v>https://transparencia.cidesi.mx/comprobantes/2021/CQ2100572 /C2FPI215581_BFE030305D39.pdf</v>
      </c>
      <c r="AO27" t="str">
        <f>HYPERLINK("https://transparencia.cidesi.mx/comprobantes/2021/CQ2100572 /C2FPI215581_BFE030305D39.xml")</f>
        <v>https://transparencia.cidesi.mx/comprobantes/2021/CQ2100572 /C2FPI215581_BFE030305D39.xml</v>
      </c>
      <c r="AP27" t="s">
        <v>193</v>
      </c>
      <c r="AQ27" t="s">
        <v>194</v>
      </c>
      <c r="AR27" t="s">
        <v>195</v>
      </c>
      <c r="AS27" t="s">
        <v>196</v>
      </c>
      <c r="AT27" s="1">
        <v>44407</v>
      </c>
      <c r="AU27" s="1">
        <v>44424</v>
      </c>
    </row>
    <row r="28" spans="1:47" x14ac:dyDescent="0.3">
      <c r="A28" t="s">
        <v>197</v>
      </c>
      <c r="B28" t="s">
        <v>198</v>
      </c>
      <c r="C28" t="s">
        <v>199</v>
      </c>
      <c r="D28">
        <v>86</v>
      </c>
      <c r="E28" t="s">
        <v>200</v>
      </c>
      <c r="F28" t="s">
        <v>201</v>
      </c>
      <c r="G28" t="s">
        <v>202</v>
      </c>
      <c r="H28" t="s">
        <v>203</v>
      </c>
      <c r="I28" t="s">
        <v>54</v>
      </c>
      <c r="J28" t="s">
        <v>204</v>
      </c>
      <c r="K28" t="s">
        <v>56</v>
      </c>
      <c r="L28">
        <v>100210</v>
      </c>
      <c r="M28" t="s">
        <v>205</v>
      </c>
      <c r="N28">
        <v>0</v>
      </c>
      <c r="O28" t="s">
        <v>58</v>
      </c>
      <c r="P28" t="s">
        <v>59</v>
      </c>
      <c r="Q28" t="s">
        <v>60</v>
      </c>
      <c r="R28" t="s">
        <v>204</v>
      </c>
      <c r="S28" s="1">
        <v>44467</v>
      </c>
      <c r="T28" s="1">
        <v>44467</v>
      </c>
      <c r="U28">
        <v>37501</v>
      </c>
      <c r="V28" t="s">
        <v>61</v>
      </c>
      <c r="W28" t="s">
        <v>206</v>
      </c>
      <c r="X28" s="1">
        <v>44473</v>
      </c>
      <c r="Y28" t="s">
        <v>207</v>
      </c>
      <c r="Z28">
        <v>0.01</v>
      </c>
      <c r="AA28">
        <v>0</v>
      </c>
      <c r="AB28">
        <v>0</v>
      </c>
      <c r="AC28">
        <v>0</v>
      </c>
      <c r="AD28">
        <v>0.01</v>
      </c>
      <c r="AE28">
        <v>0.01</v>
      </c>
      <c r="AF28">
        <v>1034</v>
      </c>
      <c r="AG28" t="s">
        <v>208</v>
      </c>
      <c r="AH28" t="s">
        <v>66</v>
      </c>
      <c r="AI28" t="s">
        <v>66</v>
      </c>
      <c r="AJ28" t="s">
        <v>66</v>
      </c>
      <c r="AK28" t="s">
        <v>66</v>
      </c>
      <c r="AL28" t="s">
        <v>66</v>
      </c>
      <c r="AM28" s="2" t="s">
        <v>73</v>
      </c>
      <c r="AN28" t="s">
        <v>73</v>
      </c>
      <c r="AO28" t="s">
        <v>73</v>
      </c>
      <c r="AP28" t="s">
        <v>209</v>
      </c>
      <c r="AQ28" t="s">
        <v>210</v>
      </c>
      <c r="AR28" t="s">
        <v>211</v>
      </c>
      <c r="AS28" t="s">
        <v>211</v>
      </c>
      <c r="AT28" s="1">
        <v>44474</v>
      </c>
      <c r="AU28" t="s">
        <v>73</v>
      </c>
    </row>
    <row r="29" spans="1:47" x14ac:dyDescent="0.3">
      <c r="A29" t="s">
        <v>47</v>
      </c>
      <c r="B29" t="s">
        <v>48</v>
      </c>
      <c r="C29" t="s">
        <v>49</v>
      </c>
      <c r="D29">
        <v>117</v>
      </c>
      <c r="E29" t="s">
        <v>212</v>
      </c>
      <c r="F29" t="s">
        <v>213</v>
      </c>
      <c r="G29" t="s">
        <v>84</v>
      </c>
      <c r="H29" t="s">
        <v>214</v>
      </c>
      <c r="I29" t="s">
        <v>54</v>
      </c>
      <c r="J29" t="s">
        <v>215</v>
      </c>
      <c r="K29" t="s">
        <v>56</v>
      </c>
      <c r="L29">
        <v>0</v>
      </c>
      <c r="M29" t="s">
        <v>73</v>
      </c>
      <c r="N29">
        <v>0</v>
      </c>
      <c r="O29" t="s">
        <v>58</v>
      </c>
      <c r="P29" t="s">
        <v>59</v>
      </c>
      <c r="Q29" t="s">
        <v>216</v>
      </c>
      <c r="R29" t="s">
        <v>215</v>
      </c>
      <c r="S29" s="1">
        <v>44407</v>
      </c>
      <c r="T29" s="1">
        <v>44407</v>
      </c>
      <c r="U29">
        <v>37501</v>
      </c>
      <c r="V29" t="s">
        <v>61</v>
      </c>
      <c r="W29" t="s">
        <v>217</v>
      </c>
      <c r="X29" s="1">
        <v>44410</v>
      </c>
      <c r="Y29" t="s">
        <v>63</v>
      </c>
      <c r="Z29">
        <v>267.24</v>
      </c>
      <c r="AA29">
        <v>16</v>
      </c>
      <c r="AB29">
        <v>42.76</v>
      </c>
      <c r="AC29">
        <v>31</v>
      </c>
      <c r="AD29">
        <v>341</v>
      </c>
      <c r="AE29">
        <v>341</v>
      </c>
      <c r="AF29">
        <v>545</v>
      </c>
      <c r="AG29" t="s">
        <v>218</v>
      </c>
      <c r="AH29" t="s">
        <v>65</v>
      </c>
      <c r="AI29" t="s">
        <v>65</v>
      </c>
      <c r="AJ29" t="s">
        <v>66</v>
      </c>
      <c r="AK29" t="s">
        <v>66</v>
      </c>
      <c r="AL29" t="s">
        <v>66</v>
      </c>
      <c r="AM29" s="2" t="str">
        <f>HYPERLINK("https://transparencia.cidesi.mx/comprobantes/2021/CQ2100588 /C169391372.pdf")</f>
        <v>https://transparencia.cidesi.mx/comprobantes/2021/CQ2100588 /C169391372.pdf</v>
      </c>
      <c r="AN29" t="str">
        <f>HYPERLINK("https://transparencia.cidesi.mx/comprobantes/2021/CQ2100588 /C169391372.pdf")</f>
        <v>https://transparencia.cidesi.mx/comprobantes/2021/CQ2100588 /C169391372.pdf</v>
      </c>
      <c r="AO29" t="str">
        <f>HYPERLINK("https://transparencia.cidesi.mx/comprobantes/2021/CQ2100588 /C169391372.xml")</f>
        <v>https://transparencia.cidesi.mx/comprobantes/2021/CQ2100588 /C169391372.xml</v>
      </c>
      <c r="AP29" t="s">
        <v>219</v>
      </c>
      <c r="AQ29" t="s">
        <v>220</v>
      </c>
      <c r="AR29" t="s">
        <v>221</v>
      </c>
      <c r="AS29" t="s">
        <v>222</v>
      </c>
      <c r="AT29" s="1">
        <v>44411</v>
      </c>
      <c r="AU29" s="1">
        <v>44424</v>
      </c>
    </row>
    <row r="30" spans="1:47" x14ac:dyDescent="0.3">
      <c r="A30" t="s">
        <v>223</v>
      </c>
      <c r="B30" t="s">
        <v>224</v>
      </c>
      <c r="C30" t="s">
        <v>225</v>
      </c>
      <c r="D30">
        <v>139</v>
      </c>
      <c r="E30" t="s">
        <v>226</v>
      </c>
      <c r="F30" t="s">
        <v>227</v>
      </c>
      <c r="G30" t="s">
        <v>228</v>
      </c>
      <c r="H30" t="s">
        <v>229</v>
      </c>
      <c r="I30" t="s">
        <v>54</v>
      </c>
      <c r="J30" t="s">
        <v>230</v>
      </c>
      <c r="K30" t="s">
        <v>56</v>
      </c>
      <c r="L30">
        <v>0</v>
      </c>
      <c r="M30" t="s">
        <v>73</v>
      </c>
      <c r="N30">
        <v>0</v>
      </c>
      <c r="O30" t="s">
        <v>58</v>
      </c>
      <c r="P30" t="s">
        <v>59</v>
      </c>
      <c r="Q30" t="s">
        <v>60</v>
      </c>
      <c r="R30" t="s">
        <v>230</v>
      </c>
      <c r="S30" s="1">
        <v>44466</v>
      </c>
      <c r="T30" s="1">
        <v>44466</v>
      </c>
      <c r="U30">
        <v>37501</v>
      </c>
      <c r="V30" t="s">
        <v>61</v>
      </c>
      <c r="W30" t="s">
        <v>231</v>
      </c>
      <c r="X30" s="1">
        <v>44469</v>
      </c>
      <c r="Y30" t="s">
        <v>63</v>
      </c>
      <c r="Z30">
        <v>512.07000000000005</v>
      </c>
      <c r="AA30">
        <v>16</v>
      </c>
      <c r="AB30">
        <v>81.93</v>
      </c>
      <c r="AC30">
        <v>60</v>
      </c>
      <c r="AD30">
        <v>654</v>
      </c>
      <c r="AE30">
        <v>654</v>
      </c>
      <c r="AF30">
        <v>783</v>
      </c>
      <c r="AG30" t="s">
        <v>232</v>
      </c>
      <c r="AH30" t="s">
        <v>65</v>
      </c>
      <c r="AI30" t="s">
        <v>65</v>
      </c>
      <c r="AJ30" t="s">
        <v>66</v>
      </c>
      <c r="AK30" t="s">
        <v>66</v>
      </c>
      <c r="AL30" t="s">
        <v>66</v>
      </c>
      <c r="AM30" s="2" t="str">
        <f>HYPERLINK("https://transparencia.cidesi.mx/comprobantes/2021/CQ2100917 /C1GGA120503MQ8-A9305-33FB9830-5094-45D5-9C56-866D8B887399.pdf")</f>
        <v>https://transparencia.cidesi.mx/comprobantes/2021/CQ2100917 /C1GGA120503MQ8-A9305-33FB9830-5094-45D5-9C56-866D8B887399.pdf</v>
      </c>
      <c r="AN30" t="str">
        <f>HYPERLINK("https://transparencia.cidesi.mx/comprobantes/2021/CQ2100917 /C1GGA120503MQ8-A9305-33FB9830-5094-45D5-9C56-866D8B887399.pdf")</f>
        <v>https://transparencia.cidesi.mx/comprobantes/2021/CQ2100917 /C1GGA120503MQ8-A9305-33FB9830-5094-45D5-9C56-866D8B887399.pdf</v>
      </c>
      <c r="AO30" t="str">
        <f>HYPERLINK("https://transparencia.cidesi.mx/comprobantes/2021/CQ2100917 /C1GGA120503MQ8-A9305-33FB9830-5094-45D5-9C56-866D8B887399.xml")</f>
        <v>https://transparencia.cidesi.mx/comprobantes/2021/CQ2100917 /C1GGA120503MQ8-A9305-33FB9830-5094-45D5-9C56-866D8B887399.xml</v>
      </c>
      <c r="AP30" t="s">
        <v>230</v>
      </c>
      <c r="AQ30" t="s">
        <v>233</v>
      </c>
      <c r="AR30" t="s">
        <v>234</v>
      </c>
      <c r="AS30" t="s">
        <v>235</v>
      </c>
      <c r="AT30" s="1">
        <v>44470</v>
      </c>
      <c r="AU30" s="1">
        <v>44470</v>
      </c>
    </row>
    <row r="31" spans="1:47" x14ac:dyDescent="0.3">
      <c r="A31" t="s">
        <v>47</v>
      </c>
      <c r="B31" t="s">
        <v>48</v>
      </c>
      <c r="C31" t="s">
        <v>49</v>
      </c>
      <c r="D31">
        <v>148</v>
      </c>
      <c r="E31" t="s">
        <v>236</v>
      </c>
      <c r="F31" t="s">
        <v>237</v>
      </c>
      <c r="G31" t="s">
        <v>238</v>
      </c>
      <c r="H31" t="s">
        <v>239</v>
      </c>
      <c r="I31" t="s">
        <v>54</v>
      </c>
      <c r="J31" t="s">
        <v>215</v>
      </c>
      <c r="K31" t="s">
        <v>56</v>
      </c>
      <c r="L31">
        <v>0</v>
      </c>
      <c r="M31" t="s">
        <v>73</v>
      </c>
      <c r="N31">
        <v>0</v>
      </c>
      <c r="O31" t="s">
        <v>58</v>
      </c>
      <c r="P31" t="s">
        <v>59</v>
      </c>
      <c r="Q31" t="s">
        <v>216</v>
      </c>
      <c r="R31" t="s">
        <v>215</v>
      </c>
      <c r="S31" s="1">
        <v>44407</v>
      </c>
      <c r="T31" s="1">
        <v>44407</v>
      </c>
      <c r="U31">
        <v>37501</v>
      </c>
      <c r="V31" t="s">
        <v>61</v>
      </c>
      <c r="W31" t="s">
        <v>240</v>
      </c>
      <c r="X31" s="1">
        <v>44412</v>
      </c>
      <c r="Y31" t="s">
        <v>63</v>
      </c>
      <c r="Z31">
        <v>214.66</v>
      </c>
      <c r="AA31">
        <v>16</v>
      </c>
      <c r="AB31">
        <v>34.340000000000003</v>
      </c>
      <c r="AC31">
        <v>25</v>
      </c>
      <c r="AD31">
        <v>274</v>
      </c>
      <c r="AE31">
        <v>274</v>
      </c>
      <c r="AF31">
        <v>545</v>
      </c>
      <c r="AG31" t="s">
        <v>241</v>
      </c>
      <c r="AH31" t="s">
        <v>65</v>
      </c>
      <c r="AI31" t="s">
        <v>65</v>
      </c>
      <c r="AJ31" t="s">
        <v>66</v>
      </c>
      <c r="AK31" t="s">
        <v>66</v>
      </c>
      <c r="AL31" t="s">
        <v>66</v>
      </c>
      <c r="AM31" s="2" t="str">
        <f>HYPERLINK("https://transparencia.cidesi.mx/comprobantes/2021/CQ2100600 /C1FOVIHO102605_OVI800131GQ6.pdf")</f>
        <v>https://transparencia.cidesi.mx/comprobantes/2021/CQ2100600 /C1FOVIHO102605_OVI800131GQ6.pdf</v>
      </c>
      <c r="AN31" t="str">
        <f>HYPERLINK("https://transparencia.cidesi.mx/comprobantes/2021/CQ2100600 /C1FOVIHO102605_OVI800131GQ6.pdf")</f>
        <v>https://transparencia.cidesi.mx/comprobantes/2021/CQ2100600 /C1FOVIHO102605_OVI800131GQ6.pdf</v>
      </c>
      <c r="AO31" t="str">
        <f>HYPERLINK("https://transparencia.cidesi.mx/comprobantes/2021/CQ2100600 /C1FOVIHO102605_OVI800131GQ6.xml")</f>
        <v>https://transparencia.cidesi.mx/comprobantes/2021/CQ2100600 /C1FOVIHO102605_OVI800131GQ6.xml</v>
      </c>
      <c r="AP31" t="s">
        <v>242</v>
      </c>
      <c r="AQ31" t="s">
        <v>243</v>
      </c>
      <c r="AR31" t="s">
        <v>244</v>
      </c>
      <c r="AS31" t="s">
        <v>245</v>
      </c>
      <c r="AT31" s="1">
        <v>44417</v>
      </c>
      <c r="AU31" s="1">
        <v>44424</v>
      </c>
    </row>
    <row r="32" spans="1:47" x14ac:dyDescent="0.3">
      <c r="A32" t="s">
        <v>246</v>
      </c>
      <c r="B32" t="s">
        <v>182</v>
      </c>
      <c r="C32" t="s">
        <v>183</v>
      </c>
      <c r="D32">
        <v>156</v>
      </c>
      <c r="E32" t="s">
        <v>247</v>
      </c>
      <c r="F32" t="s">
        <v>248</v>
      </c>
      <c r="G32" t="s">
        <v>249</v>
      </c>
      <c r="H32" t="s">
        <v>250</v>
      </c>
      <c r="I32" t="s">
        <v>54</v>
      </c>
      <c r="J32" t="s">
        <v>251</v>
      </c>
      <c r="K32" t="s">
        <v>56</v>
      </c>
      <c r="L32">
        <v>0</v>
      </c>
      <c r="M32" t="s">
        <v>73</v>
      </c>
      <c r="N32">
        <v>0</v>
      </c>
      <c r="O32" t="s">
        <v>58</v>
      </c>
      <c r="P32" t="s">
        <v>59</v>
      </c>
      <c r="Q32" t="s">
        <v>252</v>
      </c>
      <c r="R32" t="s">
        <v>251</v>
      </c>
      <c r="S32" s="1">
        <v>44379</v>
      </c>
      <c r="T32" s="1">
        <v>44379</v>
      </c>
      <c r="U32">
        <v>37501</v>
      </c>
      <c r="V32" t="s">
        <v>61</v>
      </c>
      <c r="W32" t="s">
        <v>253</v>
      </c>
      <c r="X32" s="1">
        <v>44384</v>
      </c>
      <c r="Y32" t="s">
        <v>63</v>
      </c>
      <c r="Z32">
        <v>99.14</v>
      </c>
      <c r="AA32">
        <v>16</v>
      </c>
      <c r="AB32">
        <v>15.86</v>
      </c>
      <c r="AC32">
        <v>0</v>
      </c>
      <c r="AD32">
        <v>115</v>
      </c>
      <c r="AE32">
        <v>364.7</v>
      </c>
      <c r="AF32">
        <v>545</v>
      </c>
      <c r="AG32" t="s">
        <v>254</v>
      </c>
      <c r="AH32" t="s">
        <v>65</v>
      </c>
      <c r="AI32" t="s">
        <v>65</v>
      </c>
      <c r="AJ32" t="s">
        <v>66</v>
      </c>
      <c r="AK32" t="s">
        <v>66</v>
      </c>
      <c r="AL32" t="s">
        <v>66</v>
      </c>
      <c r="AM32" s="2" t="str">
        <f>HYPERLINK("https://transparencia.cidesi.mx/comprobantes/2021/CQ2100482 /C1CID840309UG7_F_0000032595.pdf")</f>
        <v>https://transparencia.cidesi.mx/comprobantes/2021/CQ2100482 /C1CID840309UG7_F_0000032595.pdf</v>
      </c>
      <c r="AN32" t="str">
        <f>HYPERLINK("https://transparencia.cidesi.mx/comprobantes/2021/CQ2100482 /C1CID840309UG7_F_0000032595.pdf")</f>
        <v>https://transparencia.cidesi.mx/comprobantes/2021/CQ2100482 /C1CID840309UG7_F_0000032595.pdf</v>
      </c>
      <c r="AO32" t="str">
        <f>HYPERLINK("https://transparencia.cidesi.mx/comprobantes/2021/CQ2100482 /C1CID840309UG7_F_0000032595.xml")</f>
        <v>https://transparencia.cidesi.mx/comprobantes/2021/CQ2100482 /C1CID840309UG7_F_0000032595.xml</v>
      </c>
      <c r="AP32" t="s">
        <v>255</v>
      </c>
      <c r="AQ32" t="s">
        <v>256</v>
      </c>
      <c r="AR32" t="s">
        <v>257</v>
      </c>
      <c r="AS32" t="s">
        <v>258</v>
      </c>
      <c r="AT32" s="1">
        <v>44384</v>
      </c>
      <c r="AU32" s="1">
        <v>44389</v>
      </c>
    </row>
    <row r="33" spans="1:47" x14ac:dyDescent="0.3">
      <c r="A33" t="s">
        <v>246</v>
      </c>
      <c r="B33" t="s">
        <v>182</v>
      </c>
      <c r="C33" t="s">
        <v>183</v>
      </c>
      <c r="D33">
        <v>156</v>
      </c>
      <c r="E33" t="s">
        <v>247</v>
      </c>
      <c r="F33" t="s">
        <v>248</v>
      </c>
      <c r="G33" t="s">
        <v>249</v>
      </c>
      <c r="H33" t="s">
        <v>250</v>
      </c>
      <c r="I33" t="s">
        <v>54</v>
      </c>
      <c r="J33" t="s">
        <v>251</v>
      </c>
      <c r="K33" t="s">
        <v>56</v>
      </c>
      <c r="L33">
        <v>0</v>
      </c>
      <c r="M33" t="s">
        <v>73</v>
      </c>
      <c r="N33">
        <v>0</v>
      </c>
      <c r="O33" t="s">
        <v>58</v>
      </c>
      <c r="P33" t="s">
        <v>59</v>
      </c>
      <c r="Q33" t="s">
        <v>252</v>
      </c>
      <c r="R33" t="s">
        <v>251</v>
      </c>
      <c r="S33" s="1">
        <v>44379</v>
      </c>
      <c r="T33" s="1">
        <v>44379</v>
      </c>
      <c r="U33">
        <v>37501</v>
      </c>
      <c r="V33" t="s">
        <v>61</v>
      </c>
      <c r="W33" t="s">
        <v>253</v>
      </c>
      <c r="X33" s="1">
        <v>44384</v>
      </c>
      <c r="Y33" t="s">
        <v>63</v>
      </c>
      <c r="Z33">
        <v>195.69</v>
      </c>
      <c r="AA33">
        <v>16</v>
      </c>
      <c r="AB33">
        <v>31.31</v>
      </c>
      <c r="AC33">
        <v>22.7</v>
      </c>
      <c r="AD33">
        <v>249.7</v>
      </c>
      <c r="AE33">
        <v>364.7</v>
      </c>
      <c r="AF33">
        <v>545</v>
      </c>
      <c r="AG33" t="s">
        <v>254</v>
      </c>
      <c r="AH33" t="s">
        <v>65</v>
      </c>
      <c r="AI33" t="s">
        <v>65</v>
      </c>
      <c r="AJ33" t="s">
        <v>66</v>
      </c>
      <c r="AK33" t="s">
        <v>66</v>
      </c>
      <c r="AL33" t="s">
        <v>66</v>
      </c>
      <c r="AM33" s="2" t="str">
        <f>HYPERLINK("https://transparencia.cidesi.mx/comprobantes/2021/CQ2100482 /C2FECJ7306141X2_Factura__7682_F9DCB037-CF8D-4B1A-A44E-7662E41A7E7F.pdf")</f>
        <v>https://transparencia.cidesi.mx/comprobantes/2021/CQ2100482 /C2FECJ7306141X2_Factura__7682_F9DCB037-CF8D-4B1A-A44E-7662E41A7E7F.pdf</v>
      </c>
      <c r="AN33" t="str">
        <f>HYPERLINK("https://transparencia.cidesi.mx/comprobantes/2021/CQ2100482 /C2FECJ7306141X2_Factura__7682_F9DCB037-CF8D-4B1A-A44E-7662E41A7E7F.pdf")</f>
        <v>https://transparencia.cidesi.mx/comprobantes/2021/CQ2100482 /C2FECJ7306141X2_Factura__7682_F9DCB037-CF8D-4B1A-A44E-7662E41A7E7F.pdf</v>
      </c>
      <c r="AO33" t="str">
        <f>HYPERLINK("https://transparencia.cidesi.mx/comprobantes/2021/CQ2100482 /C2FECJ7306141X2_Factura__7682_F9DCB037-CF8D-4B1A-A44E-7662E41A7E7F.xml")</f>
        <v>https://transparencia.cidesi.mx/comprobantes/2021/CQ2100482 /C2FECJ7306141X2_Factura__7682_F9DCB037-CF8D-4B1A-A44E-7662E41A7E7F.xml</v>
      </c>
      <c r="AP33" t="s">
        <v>255</v>
      </c>
      <c r="AQ33" t="s">
        <v>256</v>
      </c>
      <c r="AR33" t="s">
        <v>257</v>
      </c>
      <c r="AS33" t="s">
        <v>258</v>
      </c>
      <c r="AT33" s="1">
        <v>44384</v>
      </c>
      <c r="AU33" s="1">
        <v>44389</v>
      </c>
    </row>
    <row r="34" spans="1:47" x14ac:dyDescent="0.3">
      <c r="A34" t="s">
        <v>246</v>
      </c>
      <c r="B34" t="s">
        <v>182</v>
      </c>
      <c r="C34" t="s">
        <v>183</v>
      </c>
      <c r="D34">
        <v>156</v>
      </c>
      <c r="E34" t="s">
        <v>247</v>
      </c>
      <c r="F34" t="s">
        <v>248</v>
      </c>
      <c r="G34" t="s">
        <v>249</v>
      </c>
      <c r="H34" t="s">
        <v>259</v>
      </c>
      <c r="I34" t="s">
        <v>54</v>
      </c>
      <c r="J34" t="s">
        <v>260</v>
      </c>
      <c r="K34" t="s">
        <v>56</v>
      </c>
      <c r="L34">
        <v>0</v>
      </c>
      <c r="M34" t="s">
        <v>73</v>
      </c>
      <c r="N34">
        <v>0</v>
      </c>
      <c r="O34" t="s">
        <v>58</v>
      </c>
      <c r="P34" t="s">
        <v>59</v>
      </c>
      <c r="Q34" t="s">
        <v>60</v>
      </c>
      <c r="R34" t="s">
        <v>260</v>
      </c>
      <c r="S34" s="1">
        <v>44393</v>
      </c>
      <c r="T34" s="1">
        <v>44393</v>
      </c>
      <c r="U34">
        <v>37501</v>
      </c>
      <c r="V34" t="s">
        <v>61</v>
      </c>
      <c r="W34" t="s">
        <v>261</v>
      </c>
      <c r="X34" s="1">
        <v>44394</v>
      </c>
      <c r="Y34" t="s">
        <v>63</v>
      </c>
      <c r="Z34">
        <v>167.25</v>
      </c>
      <c r="AA34">
        <v>16</v>
      </c>
      <c r="AB34">
        <v>26.75</v>
      </c>
      <c r="AC34">
        <v>20</v>
      </c>
      <c r="AD34">
        <v>214</v>
      </c>
      <c r="AE34">
        <v>491.2</v>
      </c>
      <c r="AF34">
        <v>545</v>
      </c>
      <c r="AG34" t="s">
        <v>254</v>
      </c>
      <c r="AH34" t="s">
        <v>65</v>
      </c>
      <c r="AI34" t="s">
        <v>65</v>
      </c>
      <c r="AJ34" t="s">
        <v>66</v>
      </c>
      <c r="AK34" t="s">
        <v>66</v>
      </c>
      <c r="AL34" t="s">
        <v>66</v>
      </c>
      <c r="AM34" s="2" t="str">
        <f>HYPERLINK("https://transparencia.cidesi.mx/comprobantes/2021/CQ2100522 /C1CFDI0000006631.pdf")</f>
        <v>https://transparencia.cidesi.mx/comprobantes/2021/CQ2100522 /C1CFDI0000006631.pdf</v>
      </c>
      <c r="AN34" t="str">
        <f>HYPERLINK("https://transparencia.cidesi.mx/comprobantes/2021/CQ2100522 /C1CFDI0000006631.pdf")</f>
        <v>https://transparencia.cidesi.mx/comprobantes/2021/CQ2100522 /C1CFDI0000006631.pdf</v>
      </c>
      <c r="AO34" t="str">
        <f>HYPERLINK("https://transparencia.cidesi.mx/comprobantes/2021/CQ2100522 /C1cfdi0000006631.xml")</f>
        <v>https://transparencia.cidesi.mx/comprobantes/2021/CQ2100522 /C1cfdi0000006631.xml</v>
      </c>
      <c r="AP34" t="s">
        <v>262</v>
      </c>
      <c r="AQ34" t="s">
        <v>263</v>
      </c>
      <c r="AR34" t="s">
        <v>257</v>
      </c>
      <c r="AS34" t="s">
        <v>264</v>
      </c>
      <c r="AT34" s="1">
        <v>44398</v>
      </c>
      <c r="AU34" s="1">
        <v>44399</v>
      </c>
    </row>
    <row r="35" spans="1:47" x14ac:dyDescent="0.3">
      <c r="A35" t="s">
        <v>246</v>
      </c>
      <c r="B35" t="s">
        <v>182</v>
      </c>
      <c r="C35" t="s">
        <v>183</v>
      </c>
      <c r="D35">
        <v>156</v>
      </c>
      <c r="E35" t="s">
        <v>247</v>
      </c>
      <c r="F35" t="s">
        <v>248</v>
      </c>
      <c r="G35" t="s">
        <v>249</v>
      </c>
      <c r="H35" t="s">
        <v>259</v>
      </c>
      <c r="I35" t="s">
        <v>54</v>
      </c>
      <c r="J35" t="s">
        <v>260</v>
      </c>
      <c r="K35" t="s">
        <v>56</v>
      </c>
      <c r="L35">
        <v>0</v>
      </c>
      <c r="M35" t="s">
        <v>73</v>
      </c>
      <c r="N35">
        <v>0</v>
      </c>
      <c r="O35" t="s">
        <v>58</v>
      </c>
      <c r="P35" t="s">
        <v>59</v>
      </c>
      <c r="Q35" t="s">
        <v>60</v>
      </c>
      <c r="R35" t="s">
        <v>260</v>
      </c>
      <c r="S35" s="1">
        <v>44393</v>
      </c>
      <c r="T35" s="1">
        <v>44393</v>
      </c>
      <c r="U35">
        <v>37501</v>
      </c>
      <c r="V35" t="s">
        <v>61</v>
      </c>
      <c r="W35" t="s">
        <v>261</v>
      </c>
      <c r="X35" s="1">
        <v>44394</v>
      </c>
      <c r="Y35" t="s">
        <v>63</v>
      </c>
      <c r="Z35">
        <v>217.24</v>
      </c>
      <c r="AA35">
        <v>16</v>
      </c>
      <c r="AB35">
        <v>34.76</v>
      </c>
      <c r="AC35">
        <v>25.2</v>
      </c>
      <c r="AD35">
        <v>277.2</v>
      </c>
      <c r="AE35">
        <v>491.2</v>
      </c>
      <c r="AF35">
        <v>545</v>
      </c>
      <c r="AG35" t="s">
        <v>254</v>
      </c>
      <c r="AH35" t="s">
        <v>65</v>
      </c>
      <c r="AI35" t="s">
        <v>65</v>
      </c>
      <c r="AJ35" t="s">
        <v>66</v>
      </c>
      <c r="AK35" t="s">
        <v>66</v>
      </c>
      <c r="AL35" t="s">
        <v>66</v>
      </c>
      <c r="AM35" s="2" t="str">
        <f>HYPERLINK("https://transparencia.cidesi.mx/comprobantes/2021/CQ2100522 /C2RORR791119M94_Factura__36989_E3032484-EE07-49FB-859C-0ED4C976382D.pdf")</f>
        <v>https://transparencia.cidesi.mx/comprobantes/2021/CQ2100522 /C2RORR791119M94_Factura__36989_E3032484-EE07-49FB-859C-0ED4C976382D.pdf</v>
      </c>
      <c r="AN35" t="str">
        <f>HYPERLINK("https://transparencia.cidesi.mx/comprobantes/2021/CQ2100522 /C2RORR791119M94_Factura__36989_E3032484-EE07-49FB-859C-0ED4C976382D.pdf")</f>
        <v>https://transparencia.cidesi.mx/comprobantes/2021/CQ2100522 /C2RORR791119M94_Factura__36989_E3032484-EE07-49FB-859C-0ED4C976382D.pdf</v>
      </c>
      <c r="AO35" t="str">
        <f>HYPERLINK("https://transparencia.cidesi.mx/comprobantes/2021/CQ2100522 /C2RORR791119M94_Factura__36989_E3032484-EE07-49FB-859C-0ED4C976382D.xml")</f>
        <v>https://transparencia.cidesi.mx/comprobantes/2021/CQ2100522 /C2RORR791119M94_Factura__36989_E3032484-EE07-49FB-859C-0ED4C976382D.xml</v>
      </c>
      <c r="AP35" t="s">
        <v>262</v>
      </c>
      <c r="AQ35" t="s">
        <v>263</v>
      </c>
      <c r="AR35" t="s">
        <v>257</v>
      </c>
      <c r="AS35" t="s">
        <v>264</v>
      </c>
      <c r="AT35" s="1">
        <v>44398</v>
      </c>
      <c r="AU35" s="1">
        <v>44399</v>
      </c>
    </row>
    <row r="36" spans="1:47" x14ac:dyDescent="0.3">
      <c r="A36" t="s">
        <v>246</v>
      </c>
      <c r="B36" t="s">
        <v>182</v>
      </c>
      <c r="C36" t="s">
        <v>183</v>
      </c>
      <c r="D36">
        <v>156</v>
      </c>
      <c r="E36" t="s">
        <v>247</v>
      </c>
      <c r="F36" t="s">
        <v>248</v>
      </c>
      <c r="G36" t="s">
        <v>249</v>
      </c>
      <c r="H36" t="s">
        <v>265</v>
      </c>
      <c r="I36" t="s">
        <v>54</v>
      </c>
      <c r="J36" t="s">
        <v>266</v>
      </c>
      <c r="K36" t="s">
        <v>56</v>
      </c>
      <c r="L36">
        <v>0</v>
      </c>
      <c r="M36" t="s">
        <v>73</v>
      </c>
      <c r="N36">
        <v>0</v>
      </c>
      <c r="O36" t="s">
        <v>58</v>
      </c>
      <c r="P36" t="s">
        <v>59</v>
      </c>
      <c r="Q36" t="s">
        <v>60</v>
      </c>
      <c r="R36" t="s">
        <v>266</v>
      </c>
      <c r="S36" s="1">
        <v>44417</v>
      </c>
      <c r="T36" s="1">
        <v>44417</v>
      </c>
      <c r="U36">
        <v>37501</v>
      </c>
      <c r="V36" t="s">
        <v>61</v>
      </c>
      <c r="W36" t="s">
        <v>267</v>
      </c>
      <c r="X36" s="1">
        <v>44418</v>
      </c>
      <c r="Y36" t="s">
        <v>100</v>
      </c>
      <c r="Z36">
        <v>131.04</v>
      </c>
      <c r="AA36">
        <v>16</v>
      </c>
      <c r="AB36">
        <v>20.97</v>
      </c>
      <c r="AC36">
        <v>0</v>
      </c>
      <c r="AD36">
        <v>152.01</v>
      </c>
      <c r="AE36">
        <v>271.01</v>
      </c>
      <c r="AF36">
        <v>545</v>
      </c>
      <c r="AG36" t="s">
        <v>254</v>
      </c>
      <c r="AH36" t="s">
        <v>65</v>
      </c>
      <c r="AI36" t="s">
        <v>65</v>
      </c>
      <c r="AJ36" t="s">
        <v>66</v>
      </c>
      <c r="AK36" t="s">
        <v>66</v>
      </c>
      <c r="AL36" t="s">
        <v>66</v>
      </c>
      <c r="AM36" s="2" t="str">
        <f>HYPERLINK("https://transparencia.cidesi.mx/comprobantes/2021/CQ2100627 /C1CFDI_A0010444.pdf")</f>
        <v>https://transparencia.cidesi.mx/comprobantes/2021/CQ2100627 /C1CFDI_A0010444.pdf</v>
      </c>
      <c r="AN36" t="str">
        <f>HYPERLINK("https://transparencia.cidesi.mx/comprobantes/2021/CQ2100627 /C1CFDI_A0010444.pdf")</f>
        <v>https://transparencia.cidesi.mx/comprobantes/2021/CQ2100627 /C1CFDI_A0010444.pdf</v>
      </c>
      <c r="AO36" t="str">
        <f>HYPERLINK("https://transparencia.cidesi.mx/comprobantes/2021/CQ2100627 /C1CFDI_A0010444.xml")</f>
        <v>https://transparencia.cidesi.mx/comprobantes/2021/CQ2100627 /C1CFDI_A0010444.xml</v>
      </c>
      <c r="AP36" t="s">
        <v>268</v>
      </c>
      <c r="AQ36" t="s">
        <v>269</v>
      </c>
      <c r="AR36" t="s">
        <v>270</v>
      </c>
      <c r="AS36" t="s">
        <v>271</v>
      </c>
      <c r="AT36" s="1">
        <v>44420</v>
      </c>
      <c r="AU36" t="s">
        <v>73</v>
      </c>
    </row>
    <row r="37" spans="1:47" x14ac:dyDescent="0.3">
      <c r="A37" t="s">
        <v>246</v>
      </c>
      <c r="B37" t="s">
        <v>182</v>
      </c>
      <c r="C37" t="s">
        <v>183</v>
      </c>
      <c r="D37">
        <v>156</v>
      </c>
      <c r="E37" t="s">
        <v>247</v>
      </c>
      <c r="F37" t="s">
        <v>248</v>
      </c>
      <c r="G37" t="s">
        <v>249</v>
      </c>
      <c r="H37" t="s">
        <v>265</v>
      </c>
      <c r="I37" t="s">
        <v>54</v>
      </c>
      <c r="J37" t="s">
        <v>266</v>
      </c>
      <c r="K37" t="s">
        <v>56</v>
      </c>
      <c r="L37">
        <v>0</v>
      </c>
      <c r="M37" t="s">
        <v>73</v>
      </c>
      <c r="N37">
        <v>0</v>
      </c>
      <c r="O37" t="s">
        <v>58</v>
      </c>
      <c r="P37" t="s">
        <v>59</v>
      </c>
      <c r="Q37" t="s">
        <v>60</v>
      </c>
      <c r="R37" t="s">
        <v>266</v>
      </c>
      <c r="S37" s="1">
        <v>44417</v>
      </c>
      <c r="T37" s="1">
        <v>44417</v>
      </c>
      <c r="U37">
        <v>37501</v>
      </c>
      <c r="V37" t="s">
        <v>61</v>
      </c>
      <c r="W37" t="s">
        <v>267</v>
      </c>
      <c r="X37" s="1">
        <v>44418</v>
      </c>
      <c r="Y37" t="s">
        <v>100</v>
      </c>
      <c r="Z37">
        <v>102.59</v>
      </c>
      <c r="AA37">
        <v>16</v>
      </c>
      <c r="AB37">
        <v>16.41</v>
      </c>
      <c r="AC37">
        <v>0</v>
      </c>
      <c r="AD37">
        <v>119</v>
      </c>
      <c r="AE37">
        <v>271.01</v>
      </c>
      <c r="AF37">
        <v>545</v>
      </c>
      <c r="AG37" t="s">
        <v>254</v>
      </c>
      <c r="AH37" t="s">
        <v>65</v>
      </c>
      <c r="AI37" t="s">
        <v>65</v>
      </c>
      <c r="AJ37" t="s">
        <v>66</v>
      </c>
      <c r="AK37" t="s">
        <v>66</v>
      </c>
      <c r="AL37" t="s">
        <v>66</v>
      </c>
      <c r="AM37" s="2" t="str">
        <f>HYPERLINK("https://transparencia.cidesi.mx/comprobantes/2021/CQ2100627 /C2CFDI_A0010460.pdf")</f>
        <v>https://transparencia.cidesi.mx/comprobantes/2021/CQ2100627 /C2CFDI_A0010460.pdf</v>
      </c>
      <c r="AN37" t="str">
        <f>HYPERLINK("https://transparencia.cidesi.mx/comprobantes/2021/CQ2100627 /C2CFDI_A0010460.pdf")</f>
        <v>https://transparencia.cidesi.mx/comprobantes/2021/CQ2100627 /C2CFDI_A0010460.pdf</v>
      </c>
      <c r="AO37" t="str">
        <f>HYPERLINK("https://transparencia.cidesi.mx/comprobantes/2021/CQ2100627 /C2CFDI_A0010460.xml")</f>
        <v>https://transparencia.cidesi.mx/comprobantes/2021/CQ2100627 /C2CFDI_A0010460.xml</v>
      </c>
      <c r="AP37" t="s">
        <v>268</v>
      </c>
      <c r="AQ37" t="s">
        <v>269</v>
      </c>
      <c r="AR37" t="s">
        <v>270</v>
      </c>
      <c r="AS37" t="s">
        <v>271</v>
      </c>
      <c r="AT37" s="1">
        <v>44420</v>
      </c>
      <c r="AU37" t="s">
        <v>73</v>
      </c>
    </row>
    <row r="38" spans="1:47" x14ac:dyDescent="0.3">
      <c r="A38" t="s">
        <v>246</v>
      </c>
      <c r="B38" t="s">
        <v>182</v>
      </c>
      <c r="C38" t="s">
        <v>183</v>
      </c>
      <c r="D38">
        <v>156</v>
      </c>
      <c r="E38" t="s">
        <v>247</v>
      </c>
      <c r="F38" t="s">
        <v>248</v>
      </c>
      <c r="G38" t="s">
        <v>249</v>
      </c>
      <c r="H38" t="s">
        <v>272</v>
      </c>
      <c r="I38" t="s">
        <v>54</v>
      </c>
      <c r="J38" t="s">
        <v>273</v>
      </c>
      <c r="K38" t="s">
        <v>56</v>
      </c>
      <c r="L38">
        <v>0</v>
      </c>
      <c r="M38" t="s">
        <v>73</v>
      </c>
      <c r="N38">
        <v>0</v>
      </c>
      <c r="O38" t="s">
        <v>58</v>
      </c>
      <c r="P38" t="s">
        <v>59</v>
      </c>
      <c r="Q38" t="s">
        <v>274</v>
      </c>
      <c r="R38" t="s">
        <v>273</v>
      </c>
      <c r="S38" s="1">
        <v>44424</v>
      </c>
      <c r="T38" s="1">
        <v>44427</v>
      </c>
      <c r="U38">
        <v>37501</v>
      </c>
      <c r="V38" t="s">
        <v>61</v>
      </c>
      <c r="W38" t="s">
        <v>275</v>
      </c>
      <c r="X38" s="1">
        <v>44431</v>
      </c>
      <c r="Y38" t="s">
        <v>63</v>
      </c>
      <c r="Z38">
        <v>349.14</v>
      </c>
      <c r="AA38">
        <v>16</v>
      </c>
      <c r="AB38">
        <v>55.86</v>
      </c>
      <c r="AC38">
        <v>40</v>
      </c>
      <c r="AD38">
        <v>445</v>
      </c>
      <c r="AE38">
        <v>6262.92</v>
      </c>
      <c r="AF38">
        <v>3818</v>
      </c>
      <c r="AG38" t="s">
        <v>254</v>
      </c>
      <c r="AH38" t="s">
        <v>65</v>
      </c>
      <c r="AI38" t="s">
        <v>65</v>
      </c>
      <c r="AJ38" t="s">
        <v>66</v>
      </c>
      <c r="AK38" t="s">
        <v>66</v>
      </c>
      <c r="AL38" t="s">
        <v>66</v>
      </c>
      <c r="AM38" s="2" t="str">
        <f>HYPERLINK("https://transparencia.cidesi.mx/comprobantes/2021/CQ2100679 /C1MAC_GDLPV000012218_N001-530176.pdf")</f>
        <v>https://transparencia.cidesi.mx/comprobantes/2021/CQ2100679 /C1MAC_GDLPV000012218_N001-530176.pdf</v>
      </c>
      <c r="AN38" t="str">
        <f>HYPERLINK("https://transparencia.cidesi.mx/comprobantes/2021/CQ2100679 /C1MAC_GDLPV000012218_N001-530176.pdf")</f>
        <v>https://transparencia.cidesi.mx/comprobantes/2021/CQ2100679 /C1MAC_GDLPV000012218_N001-530176.pdf</v>
      </c>
      <c r="AO38" t="str">
        <f>HYPERLINK("https://transparencia.cidesi.mx/comprobantes/2021/CQ2100679 /C1MAC_GDLPV000012218_N001-530176.xml")</f>
        <v>https://transparencia.cidesi.mx/comprobantes/2021/CQ2100679 /C1MAC_GDLPV000012218_N001-530176.xml</v>
      </c>
      <c r="AP38" t="s">
        <v>276</v>
      </c>
      <c r="AQ38" t="s">
        <v>277</v>
      </c>
      <c r="AR38" t="s">
        <v>278</v>
      </c>
      <c r="AS38" t="s">
        <v>271</v>
      </c>
      <c r="AT38" s="1">
        <v>44433</v>
      </c>
      <c r="AU38" s="1">
        <v>44433</v>
      </c>
    </row>
    <row r="39" spans="1:47" x14ac:dyDescent="0.3">
      <c r="A39" t="s">
        <v>246</v>
      </c>
      <c r="B39" t="s">
        <v>182</v>
      </c>
      <c r="C39" t="s">
        <v>183</v>
      </c>
      <c r="D39">
        <v>156</v>
      </c>
      <c r="E39" t="s">
        <v>247</v>
      </c>
      <c r="F39" t="s">
        <v>248</v>
      </c>
      <c r="G39" t="s">
        <v>249</v>
      </c>
      <c r="H39" t="s">
        <v>272</v>
      </c>
      <c r="I39" t="s">
        <v>54</v>
      </c>
      <c r="J39" t="s">
        <v>273</v>
      </c>
      <c r="K39" t="s">
        <v>56</v>
      </c>
      <c r="L39">
        <v>0</v>
      </c>
      <c r="M39" t="s">
        <v>73</v>
      </c>
      <c r="N39">
        <v>0</v>
      </c>
      <c r="O39" t="s">
        <v>58</v>
      </c>
      <c r="P39" t="s">
        <v>59</v>
      </c>
      <c r="Q39" t="s">
        <v>274</v>
      </c>
      <c r="R39" t="s">
        <v>273</v>
      </c>
      <c r="S39" s="1">
        <v>44424</v>
      </c>
      <c r="T39" s="1">
        <v>44427</v>
      </c>
      <c r="U39">
        <v>37501</v>
      </c>
      <c r="V39" t="s">
        <v>61</v>
      </c>
      <c r="W39" t="s">
        <v>275</v>
      </c>
      <c r="X39" s="1">
        <v>44431</v>
      </c>
      <c r="Y39" t="s">
        <v>63</v>
      </c>
      <c r="Z39">
        <v>88.6</v>
      </c>
      <c r="AA39">
        <v>16</v>
      </c>
      <c r="AB39">
        <v>4.9000000000000004</v>
      </c>
      <c r="AC39">
        <v>0</v>
      </c>
      <c r="AD39">
        <v>93.5</v>
      </c>
      <c r="AE39">
        <v>6262.92</v>
      </c>
      <c r="AF39">
        <v>3818</v>
      </c>
      <c r="AG39" t="s">
        <v>254</v>
      </c>
      <c r="AH39" t="s">
        <v>65</v>
      </c>
      <c r="AI39" t="s">
        <v>65</v>
      </c>
      <c r="AJ39" t="s">
        <v>66</v>
      </c>
      <c r="AK39" t="s">
        <v>66</v>
      </c>
      <c r="AL39" t="s">
        <v>66</v>
      </c>
      <c r="AM39" s="2" t="str">
        <f>HYPERLINK("https://transparencia.cidesi.mx/comprobantes/2021/CQ2100679 /C2FACTURA_1629745571980_341755555.pdf")</f>
        <v>https://transparencia.cidesi.mx/comprobantes/2021/CQ2100679 /C2FACTURA_1629745571980_341755555.pdf</v>
      </c>
      <c r="AN39" t="str">
        <f>HYPERLINK("https://transparencia.cidesi.mx/comprobantes/2021/CQ2100679 /C2FACTURA_1629745571980_341755555.pdf")</f>
        <v>https://transparencia.cidesi.mx/comprobantes/2021/CQ2100679 /C2FACTURA_1629745571980_341755555.pdf</v>
      </c>
      <c r="AO39" t="str">
        <f>HYPERLINK("https://transparencia.cidesi.mx/comprobantes/2021/CQ2100679 /C2FACTURA_1629745571980_341755555.xml")</f>
        <v>https://transparencia.cidesi.mx/comprobantes/2021/CQ2100679 /C2FACTURA_1629745571980_341755555.xml</v>
      </c>
      <c r="AP39" t="s">
        <v>276</v>
      </c>
      <c r="AQ39" t="s">
        <v>277</v>
      </c>
      <c r="AR39" t="s">
        <v>278</v>
      </c>
      <c r="AS39" t="s">
        <v>271</v>
      </c>
      <c r="AT39" s="1">
        <v>44433</v>
      </c>
      <c r="AU39" s="1">
        <v>44433</v>
      </c>
    </row>
    <row r="40" spans="1:47" x14ac:dyDescent="0.3">
      <c r="A40" t="s">
        <v>246</v>
      </c>
      <c r="B40" t="s">
        <v>182</v>
      </c>
      <c r="C40" t="s">
        <v>183</v>
      </c>
      <c r="D40">
        <v>156</v>
      </c>
      <c r="E40" t="s">
        <v>247</v>
      </c>
      <c r="F40" t="s">
        <v>248</v>
      </c>
      <c r="G40" t="s">
        <v>249</v>
      </c>
      <c r="H40" t="s">
        <v>272</v>
      </c>
      <c r="I40" t="s">
        <v>54</v>
      </c>
      <c r="J40" t="s">
        <v>273</v>
      </c>
      <c r="K40" t="s">
        <v>56</v>
      </c>
      <c r="L40">
        <v>0</v>
      </c>
      <c r="M40" t="s">
        <v>73</v>
      </c>
      <c r="N40">
        <v>0</v>
      </c>
      <c r="O40" t="s">
        <v>58</v>
      </c>
      <c r="P40" t="s">
        <v>59</v>
      </c>
      <c r="Q40" t="s">
        <v>274</v>
      </c>
      <c r="R40" t="s">
        <v>273</v>
      </c>
      <c r="S40" s="1">
        <v>44424</v>
      </c>
      <c r="T40" s="1">
        <v>44427</v>
      </c>
      <c r="U40">
        <v>37501</v>
      </c>
      <c r="V40" t="s">
        <v>61</v>
      </c>
      <c r="W40" t="s">
        <v>275</v>
      </c>
      <c r="X40" s="1">
        <v>44431</v>
      </c>
      <c r="Y40" t="s">
        <v>63</v>
      </c>
      <c r="Z40">
        <v>131.9</v>
      </c>
      <c r="AA40">
        <v>16</v>
      </c>
      <c r="AB40">
        <v>21.1</v>
      </c>
      <c r="AC40">
        <v>0</v>
      </c>
      <c r="AD40">
        <v>153</v>
      </c>
      <c r="AE40">
        <v>6262.92</v>
      </c>
      <c r="AF40">
        <v>3818</v>
      </c>
      <c r="AG40" t="s">
        <v>254</v>
      </c>
      <c r="AH40" t="s">
        <v>65</v>
      </c>
      <c r="AI40" t="s">
        <v>65</v>
      </c>
      <c r="AJ40" t="s">
        <v>66</v>
      </c>
      <c r="AK40" t="s">
        <v>66</v>
      </c>
      <c r="AL40" t="s">
        <v>66</v>
      </c>
      <c r="AM40" s="2" t="str">
        <f>HYPERLINK("https://transparencia.cidesi.mx/comprobantes/2021/CQ2100679 /C3986672ec-e937-4661-bfff-fea5bb8960ee.pdf")</f>
        <v>https://transparencia.cidesi.mx/comprobantes/2021/CQ2100679 /C3986672ec-e937-4661-bfff-fea5bb8960ee.pdf</v>
      </c>
      <c r="AN40" t="str">
        <f>HYPERLINK("https://transparencia.cidesi.mx/comprobantes/2021/CQ2100679 /C3986672ec-e937-4661-bfff-fea5bb8960ee.pdf")</f>
        <v>https://transparencia.cidesi.mx/comprobantes/2021/CQ2100679 /C3986672ec-e937-4661-bfff-fea5bb8960ee.pdf</v>
      </c>
      <c r="AO40" t="str">
        <f>HYPERLINK("https://transparencia.cidesi.mx/comprobantes/2021/CQ2100679 /C3986672ec-e937-4661-bfff-fea5bb8960ee.xml")</f>
        <v>https://transparencia.cidesi.mx/comprobantes/2021/CQ2100679 /C3986672ec-e937-4661-bfff-fea5bb8960ee.xml</v>
      </c>
      <c r="AP40" t="s">
        <v>276</v>
      </c>
      <c r="AQ40" t="s">
        <v>277</v>
      </c>
      <c r="AR40" t="s">
        <v>278</v>
      </c>
      <c r="AS40" t="s">
        <v>271</v>
      </c>
      <c r="AT40" s="1">
        <v>44433</v>
      </c>
      <c r="AU40" s="1">
        <v>44433</v>
      </c>
    </row>
    <row r="41" spans="1:47" x14ac:dyDescent="0.3">
      <c r="A41" t="s">
        <v>246</v>
      </c>
      <c r="B41" t="s">
        <v>182</v>
      </c>
      <c r="C41" t="s">
        <v>183</v>
      </c>
      <c r="D41">
        <v>156</v>
      </c>
      <c r="E41" t="s">
        <v>247</v>
      </c>
      <c r="F41" t="s">
        <v>248</v>
      </c>
      <c r="G41" t="s">
        <v>249</v>
      </c>
      <c r="H41" t="s">
        <v>272</v>
      </c>
      <c r="I41" t="s">
        <v>54</v>
      </c>
      <c r="J41" t="s">
        <v>273</v>
      </c>
      <c r="K41" t="s">
        <v>56</v>
      </c>
      <c r="L41">
        <v>0</v>
      </c>
      <c r="M41" t="s">
        <v>73</v>
      </c>
      <c r="N41">
        <v>0</v>
      </c>
      <c r="O41" t="s">
        <v>58</v>
      </c>
      <c r="P41" t="s">
        <v>59</v>
      </c>
      <c r="Q41" t="s">
        <v>274</v>
      </c>
      <c r="R41" t="s">
        <v>273</v>
      </c>
      <c r="S41" s="1">
        <v>44424</v>
      </c>
      <c r="T41" s="1">
        <v>44427</v>
      </c>
      <c r="U41">
        <v>37501</v>
      </c>
      <c r="V41" t="s">
        <v>61</v>
      </c>
      <c r="W41" t="s">
        <v>275</v>
      </c>
      <c r="X41" s="1">
        <v>44431</v>
      </c>
      <c r="Y41" t="s">
        <v>63</v>
      </c>
      <c r="Z41">
        <v>65</v>
      </c>
      <c r="AA41">
        <v>0</v>
      </c>
      <c r="AB41">
        <v>0</v>
      </c>
      <c r="AC41">
        <v>0</v>
      </c>
      <c r="AD41">
        <v>65</v>
      </c>
      <c r="AE41">
        <v>6262.92</v>
      </c>
      <c r="AF41">
        <v>3818</v>
      </c>
      <c r="AG41" t="s">
        <v>254</v>
      </c>
      <c r="AH41" t="s">
        <v>65</v>
      </c>
      <c r="AI41" t="s">
        <v>65</v>
      </c>
      <c r="AJ41" t="s">
        <v>66</v>
      </c>
      <c r="AK41" t="s">
        <v>66</v>
      </c>
      <c r="AL41" t="s">
        <v>66</v>
      </c>
      <c r="AM41" s="2" t="str">
        <f>HYPERLINK("https://transparencia.cidesi.mx/comprobantes/2021/CQ2100679 /C4FACTURA_1629745995230_341757725.pdf")</f>
        <v>https://transparencia.cidesi.mx/comprobantes/2021/CQ2100679 /C4FACTURA_1629745995230_341757725.pdf</v>
      </c>
      <c r="AN41" t="str">
        <f>HYPERLINK("https://transparencia.cidesi.mx/comprobantes/2021/CQ2100679 /C4FACTURA_1629745995230_341757725.pdf")</f>
        <v>https://transparencia.cidesi.mx/comprobantes/2021/CQ2100679 /C4FACTURA_1629745995230_341757725.pdf</v>
      </c>
      <c r="AO41" t="str">
        <f>HYPERLINK("https://transparencia.cidesi.mx/comprobantes/2021/CQ2100679 /C4FACTURA_1629745995230_341757725.xml")</f>
        <v>https://transparencia.cidesi.mx/comprobantes/2021/CQ2100679 /C4FACTURA_1629745995230_341757725.xml</v>
      </c>
      <c r="AP41" t="s">
        <v>276</v>
      </c>
      <c r="AQ41" t="s">
        <v>277</v>
      </c>
      <c r="AR41" t="s">
        <v>278</v>
      </c>
      <c r="AS41" t="s">
        <v>271</v>
      </c>
      <c r="AT41" s="1">
        <v>44433</v>
      </c>
      <c r="AU41" s="1">
        <v>44433</v>
      </c>
    </row>
    <row r="42" spans="1:47" x14ac:dyDescent="0.3">
      <c r="A42" t="s">
        <v>246</v>
      </c>
      <c r="B42" t="s">
        <v>182</v>
      </c>
      <c r="C42" t="s">
        <v>183</v>
      </c>
      <c r="D42">
        <v>156</v>
      </c>
      <c r="E42" t="s">
        <v>247</v>
      </c>
      <c r="F42" t="s">
        <v>248</v>
      </c>
      <c r="G42" t="s">
        <v>249</v>
      </c>
      <c r="H42" t="s">
        <v>272</v>
      </c>
      <c r="I42" t="s">
        <v>54</v>
      </c>
      <c r="J42" t="s">
        <v>273</v>
      </c>
      <c r="K42" t="s">
        <v>56</v>
      </c>
      <c r="L42">
        <v>0</v>
      </c>
      <c r="M42" t="s">
        <v>73</v>
      </c>
      <c r="N42">
        <v>0</v>
      </c>
      <c r="O42" t="s">
        <v>58</v>
      </c>
      <c r="P42" t="s">
        <v>59</v>
      </c>
      <c r="Q42" t="s">
        <v>274</v>
      </c>
      <c r="R42" t="s">
        <v>273</v>
      </c>
      <c r="S42" s="1">
        <v>44424</v>
      </c>
      <c r="T42" s="1">
        <v>44427</v>
      </c>
      <c r="U42">
        <v>37501</v>
      </c>
      <c r="V42" t="s">
        <v>61</v>
      </c>
      <c r="W42" t="s">
        <v>275</v>
      </c>
      <c r="X42" s="1">
        <v>44431</v>
      </c>
      <c r="Y42" t="s">
        <v>63</v>
      </c>
      <c r="Z42">
        <v>218.1</v>
      </c>
      <c r="AA42">
        <v>16</v>
      </c>
      <c r="AB42">
        <v>34.9</v>
      </c>
      <c r="AC42">
        <v>25.3</v>
      </c>
      <c r="AD42">
        <v>278.3</v>
      </c>
      <c r="AE42">
        <v>6262.92</v>
      </c>
      <c r="AF42">
        <v>3818</v>
      </c>
      <c r="AG42" t="s">
        <v>254</v>
      </c>
      <c r="AH42" t="s">
        <v>65</v>
      </c>
      <c r="AI42" t="s">
        <v>65</v>
      </c>
      <c r="AJ42" t="s">
        <v>66</v>
      </c>
      <c r="AK42" t="s">
        <v>66</v>
      </c>
      <c r="AL42" t="s">
        <v>66</v>
      </c>
      <c r="AM42" s="2" t="str">
        <f>HYPERLINK("https://transparencia.cidesi.mx/comprobantes/2021/CQ2100679 /C5FACTURA 355 253 PESOS.pdf")</f>
        <v>https://transparencia.cidesi.mx/comprobantes/2021/CQ2100679 /C5FACTURA 355 253 PESOS.pdf</v>
      </c>
      <c r="AN42" t="str">
        <f>HYPERLINK("https://transparencia.cidesi.mx/comprobantes/2021/CQ2100679 /C5FACTURA 355 253 PESOS.pdf")</f>
        <v>https://transparencia.cidesi.mx/comprobantes/2021/CQ2100679 /C5FACTURA 355 253 PESOS.pdf</v>
      </c>
      <c r="AO42" t="str">
        <f>HYPERLINK("https://transparencia.cidesi.mx/comprobantes/2021/CQ2100679 /C5FACTURA 355.xml")</f>
        <v>https://transparencia.cidesi.mx/comprobantes/2021/CQ2100679 /C5FACTURA 355.xml</v>
      </c>
      <c r="AP42" t="s">
        <v>276</v>
      </c>
      <c r="AQ42" t="s">
        <v>277</v>
      </c>
      <c r="AR42" t="s">
        <v>278</v>
      </c>
      <c r="AS42" t="s">
        <v>271</v>
      </c>
      <c r="AT42" s="1">
        <v>44433</v>
      </c>
      <c r="AU42" s="1">
        <v>44433</v>
      </c>
    </row>
    <row r="43" spans="1:47" x14ac:dyDescent="0.3">
      <c r="A43" t="s">
        <v>246</v>
      </c>
      <c r="B43" t="s">
        <v>182</v>
      </c>
      <c r="C43" t="s">
        <v>183</v>
      </c>
      <c r="D43">
        <v>156</v>
      </c>
      <c r="E43" t="s">
        <v>247</v>
      </c>
      <c r="F43" t="s">
        <v>248</v>
      </c>
      <c r="G43" t="s">
        <v>249</v>
      </c>
      <c r="H43" t="s">
        <v>272</v>
      </c>
      <c r="I43" t="s">
        <v>54</v>
      </c>
      <c r="J43" t="s">
        <v>273</v>
      </c>
      <c r="K43" t="s">
        <v>56</v>
      </c>
      <c r="L43">
        <v>0</v>
      </c>
      <c r="M43" t="s">
        <v>73</v>
      </c>
      <c r="N43">
        <v>0</v>
      </c>
      <c r="O43" t="s">
        <v>58</v>
      </c>
      <c r="P43" t="s">
        <v>59</v>
      </c>
      <c r="Q43" t="s">
        <v>274</v>
      </c>
      <c r="R43" t="s">
        <v>273</v>
      </c>
      <c r="S43" s="1">
        <v>44424</v>
      </c>
      <c r="T43" s="1">
        <v>44427</v>
      </c>
      <c r="U43">
        <v>37501</v>
      </c>
      <c r="V43" t="s">
        <v>61</v>
      </c>
      <c r="W43" t="s">
        <v>275</v>
      </c>
      <c r="X43" s="1">
        <v>44431</v>
      </c>
      <c r="Y43" t="s">
        <v>63</v>
      </c>
      <c r="Z43">
        <v>115.08</v>
      </c>
      <c r="AA43">
        <v>16</v>
      </c>
      <c r="AB43">
        <v>18.399999999999999</v>
      </c>
      <c r="AC43">
        <v>0</v>
      </c>
      <c r="AD43">
        <v>133.47999999999999</v>
      </c>
      <c r="AE43">
        <v>6262.92</v>
      </c>
      <c r="AF43">
        <v>3818</v>
      </c>
      <c r="AG43" t="s">
        <v>254</v>
      </c>
      <c r="AH43" t="s">
        <v>65</v>
      </c>
      <c r="AI43" t="s">
        <v>65</v>
      </c>
      <c r="AJ43" t="s">
        <v>66</v>
      </c>
      <c r="AK43" t="s">
        <v>66</v>
      </c>
      <c r="AL43" t="s">
        <v>66</v>
      </c>
      <c r="AM43" s="2" t="str">
        <f>HYPERLINK("https://transparencia.cidesi.mx/comprobantes/2021/CQ2100679 /C6FACTURA_1629745336440_341754863.pdf")</f>
        <v>https://transparencia.cidesi.mx/comprobantes/2021/CQ2100679 /C6FACTURA_1629745336440_341754863.pdf</v>
      </c>
      <c r="AN43" t="str">
        <f>HYPERLINK("https://transparencia.cidesi.mx/comprobantes/2021/CQ2100679 /C6FACTURA_1629745336440_341754863.pdf")</f>
        <v>https://transparencia.cidesi.mx/comprobantes/2021/CQ2100679 /C6FACTURA_1629745336440_341754863.pdf</v>
      </c>
      <c r="AO43" t="str">
        <f>HYPERLINK("https://transparencia.cidesi.mx/comprobantes/2021/CQ2100679 /C6FACTURA_1629745336440_341754863.xml")</f>
        <v>https://transparencia.cidesi.mx/comprobantes/2021/CQ2100679 /C6FACTURA_1629745336440_341754863.xml</v>
      </c>
      <c r="AP43" t="s">
        <v>276</v>
      </c>
      <c r="AQ43" t="s">
        <v>277</v>
      </c>
      <c r="AR43" t="s">
        <v>278</v>
      </c>
      <c r="AS43" t="s">
        <v>271</v>
      </c>
      <c r="AT43" s="1">
        <v>44433</v>
      </c>
      <c r="AU43" s="1">
        <v>44433</v>
      </c>
    </row>
    <row r="44" spans="1:47" x14ac:dyDescent="0.3">
      <c r="A44" t="s">
        <v>246</v>
      </c>
      <c r="B44" t="s">
        <v>182</v>
      </c>
      <c r="C44" t="s">
        <v>183</v>
      </c>
      <c r="D44">
        <v>156</v>
      </c>
      <c r="E44" t="s">
        <v>247</v>
      </c>
      <c r="F44" t="s">
        <v>248</v>
      </c>
      <c r="G44" t="s">
        <v>249</v>
      </c>
      <c r="H44" t="s">
        <v>272</v>
      </c>
      <c r="I44" t="s">
        <v>54</v>
      </c>
      <c r="J44" t="s">
        <v>273</v>
      </c>
      <c r="K44" t="s">
        <v>56</v>
      </c>
      <c r="L44">
        <v>0</v>
      </c>
      <c r="M44" t="s">
        <v>73</v>
      </c>
      <c r="N44">
        <v>0</v>
      </c>
      <c r="O44" t="s">
        <v>58</v>
      </c>
      <c r="P44" t="s">
        <v>59</v>
      </c>
      <c r="Q44" t="s">
        <v>274</v>
      </c>
      <c r="R44" t="s">
        <v>273</v>
      </c>
      <c r="S44" s="1">
        <v>44424</v>
      </c>
      <c r="T44" s="1">
        <v>44427</v>
      </c>
      <c r="U44">
        <v>37501</v>
      </c>
      <c r="V44" t="s">
        <v>104</v>
      </c>
      <c r="W44" t="s">
        <v>275</v>
      </c>
      <c r="X44" s="1">
        <v>44431</v>
      </c>
      <c r="Y44" t="s">
        <v>63</v>
      </c>
      <c r="Z44">
        <v>649.16</v>
      </c>
      <c r="AA44">
        <v>16</v>
      </c>
      <c r="AB44">
        <v>100.84</v>
      </c>
      <c r="AC44">
        <v>0</v>
      </c>
      <c r="AD44">
        <v>750</v>
      </c>
      <c r="AE44">
        <v>6262.92</v>
      </c>
      <c r="AF44">
        <v>3818</v>
      </c>
      <c r="AG44" t="s">
        <v>279</v>
      </c>
      <c r="AH44" t="s">
        <v>65</v>
      </c>
      <c r="AI44" t="s">
        <v>65</v>
      </c>
      <c r="AJ44" t="s">
        <v>66</v>
      </c>
      <c r="AK44" t="s">
        <v>66</v>
      </c>
      <c r="AL44" t="s">
        <v>66</v>
      </c>
      <c r="AM44" s="2" t="str">
        <f>HYPERLINK("https://transparencia.cidesi.mx/comprobantes/2021/CQ2100679 /C7MAC_ECO000062661_0366588.pdf")</f>
        <v>https://transparencia.cidesi.mx/comprobantes/2021/CQ2100679 /C7MAC_ECO000062661_0366588.pdf</v>
      </c>
      <c r="AN44" t="str">
        <f>HYPERLINK("https://transparencia.cidesi.mx/comprobantes/2021/CQ2100679 /C7MAC_ECO000062661_0366588.pdf")</f>
        <v>https://transparencia.cidesi.mx/comprobantes/2021/CQ2100679 /C7MAC_ECO000062661_0366588.pdf</v>
      </c>
      <c r="AO44" t="str">
        <f>HYPERLINK("https://transparencia.cidesi.mx/comprobantes/2021/CQ2100679 /C7MAC_ECO000062661_0366588.xml")</f>
        <v>https://transparencia.cidesi.mx/comprobantes/2021/CQ2100679 /C7MAC_ECO000062661_0366588.xml</v>
      </c>
      <c r="AP44" t="s">
        <v>276</v>
      </c>
      <c r="AQ44" t="s">
        <v>277</v>
      </c>
      <c r="AR44" t="s">
        <v>278</v>
      </c>
      <c r="AS44" t="s">
        <v>271</v>
      </c>
      <c r="AT44" s="1">
        <v>44433</v>
      </c>
      <c r="AU44" s="1">
        <v>44433</v>
      </c>
    </row>
    <row r="45" spans="1:47" x14ac:dyDescent="0.3">
      <c r="A45" t="s">
        <v>246</v>
      </c>
      <c r="B45" t="s">
        <v>182</v>
      </c>
      <c r="C45" t="s">
        <v>183</v>
      </c>
      <c r="D45">
        <v>156</v>
      </c>
      <c r="E45" t="s">
        <v>247</v>
      </c>
      <c r="F45" t="s">
        <v>248</v>
      </c>
      <c r="G45" t="s">
        <v>249</v>
      </c>
      <c r="H45" t="s">
        <v>272</v>
      </c>
      <c r="I45" t="s">
        <v>54</v>
      </c>
      <c r="J45" t="s">
        <v>273</v>
      </c>
      <c r="K45" t="s">
        <v>56</v>
      </c>
      <c r="L45">
        <v>0</v>
      </c>
      <c r="M45" t="s">
        <v>73</v>
      </c>
      <c r="N45">
        <v>0</v>
      </c>
      <c r="O45" t="s">
        <v>58</v>
      </c>
      <c r="P45" t="s">
        <v>59</v>
      </c>
      <c r="Q45" t="s">
        <v>274</v>
      </c>
      <c r="R45" t="s">
        <v>273</v>
      </c>
      <c r="S45" s="1">
        <v>44424</v>
      </c>
      <c r="T45" s="1">
        <v>44427</v>
      </c>
      <c r="U45">
        <v>37501</v>
      </c>
      <c r="V45" t="s">
        <v>61</v>
      </c>
      <c r="W45" t="s">
        <v>275</v>
      </c>
      <c r="X45" s="1">
        <v>44431</v>
      </c>
      <c r="Y45" t="s">
        <v>63</v>
      </c>
      <c r="Z45">
        <v>720.13</v>
      </c>
      <c r="AA45">
        <v>16</v>
      </c>
      <c r="AB45">
        <v>111.87</v>
      </c>
      <c r="AC45">
        <v>0</v>
      </c>
      <c r="AD45">
        <v>832</v>
      </c>
      <c r="AE45">
        <v>6262.92</v>
      </c>
      <c r="AF45">
        <v>3818</v>
      </c>
      <c r="AG45" t="s">
        <v>254</v>
      </c>
      <c r="AH45" t="s">
        <v>65</v>
      </c>
      <c r="AI45" t="s">
        <v>65</v>
      </c>
      <c r="AJ45" t="s">
        <v>66</v>
      </c>
      <c r="AK45" t="s">
        <v>66</v>
      </c>
      <c r="AL45" t="s">
        <v>66</v>
      </c>
      <c r="AM45" s="2" t="str">
        <f>HYPERLINK("https://transparencia.cidesi.mx/comprobantes/2021/CQ2100679 /C84BB6AE7D-9788-4CCB-BDAA-0652B3C599B1.pdf")</f>
        <v>https://transparencia.cidesi.mx/comprobantes/2021/CQ2100679 /C84BB6AE7D-9788-4CCB-BDAA-0652B3C599B1.pdf</v>
      </c>
      <c r="AN45" t="str">
        <f>HYPERLINK("https://transparencia.cidesi.mx/comprobantes/2021/CQ2100679 /C84BB6AE7D-9788-4CCB-BDAA-0652B3C599B1.pdf")</f>
        <v>https://transparencia.cidesi.mx/comprobantes/2021/CQ2100679 /C84BB6AE7D-9788-4CCB-BDAA-0652B3C599B1.pdf</v>
      </c>
      <c r="AO45" t="str">
        <f>HYPERLINK("https://transparencia.cidesi.mx/comprobantes/2021/CQ2100679 /C84BB6AE7D-9788-4CCB-BDAA-0652B3C599B1.xml")</f>
        <v>https://transparencia.cidesi.mx/comprobantes/2021/CQ2100679 /C84BB6AE7D-9788-4CCB-BDAA-0652B3C599B1.xml</v>
      </c>
      <c r="AP45" t="s">
        <v>276</v>
      </c>
      <c r="AQ45" t="s">
        <v>277</v>
      </c>
      <c r="AR45" t="s">
        <v>278</v>
      </c>
      <c r="AS45" t="s">
        <v>271</v>
      </c>
      <c r="AT45" s="1">
        <v>44433</v>
      </c>
      <c r="AU45" s="1">
        <v>44433</v>
      </c>
    </row>
    <row r="46" spans="1:47" x14ac:dyDescent="0.3">
      <c r="A46" t="s">
        <v>246</v>
      </c>
      <c r="B46" t="s">
        <v>182</v>
      </c>
      <c r="C46" t="s">
        <v>183</v>
      </c>
      <c r="D46">
        <v>156</v>
      </c>
      <c r="E46" t="s">
        <v>247</v>
      </c>
      <c r="F46" t="s">
        <v>248</v>
      </c>
      <c r="G46" t="s">
        <v>249</v>
      </c>
      <c r="H46" t="s">
        <v>272</v>
      </c>
      <c r="I46" t="s">
        <v>54</v>
      </c>
      <c r="J46" t="s">
        <v>273</v>
      </c>
      <c r="K46" t="s">
        <v>56</v>
      </c>
      <c r="L46">
        <v>0</v>
      </c>
      <c r="M46" t="s">
        <v>73</v>
      </c>
      <c r="N46">
        <v>0</v>
      </c>
      <c r="O46" t="s">
        <v>58</v>
      </c>
      <c r="P46" t="s">
        <v>59</v>
      </c>
      <c r="Q46" t="s">
        <v>274</v>
      </c>
      <c r="R46" t="s">
        <v>273</v>
      </c>
      <c r="S46" s="1">
        <v>44424</v>
      </c>
      <c r="T46" s="1">
        <v>44427</v>
      </c>
      <c r="U46">
        <v>37501</v>
      </c>
      <c r="V46" t="s">
        <v>61</v>
      </c>
      <c r="W46" t="s">
        <v>275</v>
      </c>
      <c r="X46" s="1">
        <v>44431</v>
      </c>
      <c r="Y46" t="s">
        <v>63</v>
      </c>
      <c r="Z46">
        <v>649.16</v>
      </c>
      <c r="AA46">
        <v>16</v>
      </c>
      <c r="AB46">
        <v>100.84</v>
      </c>
      <c r="AC46">
        <v>0</v>
      </c>
      <c r="AD46">
        <v>750</v>
      </c>
      <c r="AE46">
        <v>6262.92</v>
      </c>
      <c r="AF46">
        <v>3818</v>
      </c>
      <c r="AG46" t="s">
        <v>254</v>
      </c>
      <c r="AH46" t="s">
        <v>65</v>
      </c>
      <c r="AI46" t="s">
        <v>65</v>
      </c>
      <c r="AJ46" t="s">
        <v>66</v>
      </c>
      <c r="AK46" t="s">
        <v>66</v>
      </c>
      <c r="AL46" t="s">
        <v>66</v>
      </c>
      <c r="AM46" s="2" t="str">
        <f>HYPERLINK("https://transparencia.cidesi.mx/comprobantes/2021/CQ2100679 /C9MAC_ECO000062699_0366626.pdf")</f>
        <v>https://transparencia.cidesi.mx/comprobantes/2021/CQ2100679 /C9MAC_ECO000062699_0366626.pdf</v>
      </c>
      <c r="AN46" t="str">
        <f>HYPERLINK("https://transparencia.cidesi.mx/comprobantes/2021/CQ2100679 /C9MAC_ECO000062699_0366626.pdf")</f>
        <v>https://transparencia.cidesi.mx/comprobantes/2021/CQ2100679 /C9MAC_ECO000062699_0366626.pdf</v>
      </c>
      <c r="AO46" t="str">
        <f>HYPERLINK("https://transparencia.cidesi.mx/comprobantes/2021/CQ2100679 /C9MAC_ECO000062699_0366626.xml")</f>
        <v>https://transparencia.cidesi.mx/comprobantes/2021/CQ2100679 /C9MAC_ECO000062699_0366626.xml</v>
      </c>
      <c r="AP46" t="s">
        <v>276</v>
      </c>
      <c r="AQ46" t="s">
        <v>277</v>
      </c>
      <c r="AR46" t="s">
        <v>278</v>
      </c>
      <c r="AS46" t="s">
        <v>271</v>
      </c>
      <c r="AT46" s="1">
        <v>44433</v>
      </c>
      <c r="AU46" s="1">
        <v>44433</v>
      </c>
    </row>
    <row r="47" spans="1:47" x14ac:dyDescent="0.3">
      <c r="A47" t="s">
        <v>246</v>
      </c>
      <c r="B47" t="s">
        <v>182</v>
      </c>
      <c r="C47" t="s">
        <v>183</v>
      </c>
      <c r="D47">
        <v>156</v>
      </c>
      <c r="E47" t="s">
        <v>247</v>
      </c>
      <c r="F47" t="s">
        <v>248</v>
      </c>
      <c r="G47" t="s">
        <v>249</v>
      </c>
      <c r="H47" t="s">
        <v>272</v>
      </c>
      <c r="I47" t="s">
        <v>54</v>
      </c>
      <c r="J47" t="s">
        <v>273</v>
      </c>
      <c r="K47" t="s">
        <v>56</v>
      </c>
      <c r="L47">
        <v>0</v>
      </c>
      <c r="M47" t="s">
        <v>73</v>
      </c>
      <c r="N47">
        <v>0</v>
      </c>
      <c r="O47" t="s">
        <v>58</v>
      </c>
      <c r="P47" t="s">
        <v>59</v>
      </c>
      <c r="Q47" t="s">
        <v>274</v>
      </c>
      <c r="R47" t="s">
        <v>273</v>
      </c>
      <c r="S47" s="1">
        <v>44424</v>
      </c>
      <c r="T47" s="1">
        <v>44427</v>
      </c>
      <c r="U47">
        <v>26102</v>
      </c>
      <c r="V47" t="s">
        <v>280</v>
      </c>
      <c r="W47" t="s">
        <v>275</v>
      </c>
      <c r="X47" s="1">
        <v>44431</v>
      </c>
      <c r="Y47" t="s">
        <v>63</v>
      </c>
      <c r="Z47">
        <v>1044.6300000000001</v>
      </c>
      <c r="AA47">
        <v>16</v>
      </c>
      <c r="AB47">
        <v>162.97999999999999</v>
      </c>
      <c r="AC47">
        <v>0</v>
      </c>
      <c r="AD47">
        <v>1207.6099999999999</v>
      </c>
      <c r="AE47">
        <v>6262.92</v>
      </c>
      <c r="AF47">
        <v>3818</v>
      </c>
      <c r="AG47" t="s">
        <v>281</v>
      </c>
      <c r="AH47" t="s">
        <v>65</v>
      </c>
      <c r="AI47" t="s">
        <v>65</v>
      </c>
      <c r="AJ47" t="s">
        <v>66</v>
      </c>
      <c r="AK47" t="s">
        <v>66</v>
      </c>
      <c r="AL47" t="s">
        <v>66</v>
      </c>
      <c r="AM47" s="2" t="str">
        <f>HYPERLINK("https://transparencia.cidesi.mx/comprobantes/2021/CQ2100679 /C10E09780_FLCAP00013386_CID840309UG7.pdf")</f>
        <v>https://transparencia.cidesi.mx/comprobantes/2021/CQ2100679 /C10E09780_FLCAP00013386_CID840309UG7.pdf</v>
      </c>
      <c r="AN47" t="str">
        <f>HYPERLINK("https://transparencia.cidesi.mx/comprobantes/2021/CQ2100679 /C10E09780_FLCAP00013386_CID840309UG7.pdf")</f>
        <v>https://transparencia.cidesi.mx/comprobantes/2021/CQ2100679 /C10E09780_FLCAP00013386_CID840309UG7.pdf</v>
      </c>
      <c r="AO47" t="str">
        <f>HYPERLINK("https://transparencia.cidesi.mx/comprobantes/2021/CQ2100679 /C10E09780_FLCAP00013386_CID840309UG7.xml")</f>
        <v>https://transparencia.cidesi.mx/comprobantes/2021/CQ2100679 /C10E09780_FLCAP00013386_CID840309UG7.xml</v>
      </c>
      <c r="AP47" t="s">
        <v>276</v>
      </c>
      <c r="AQ47" t="s">
        <v>277</v>
      </c>
      <c r="AR47" t="s">
        <v>278</v>
      </c>
      <c r="AS47" t="s">
        <v>271</v>
      </c>
      <c r="AT47" s="1">
        <v>44433</v>
      </c>
      <c r="AU47" s="1">
        <v>44433</v>
      </c>
    </row>
    <row r="48" spans="1:47" x14ac:dyDescent="0.3">
      <c r="A48" t="s">
        <v>246</v>
      </c>
      <c r="B48" t="s">
        <v>182</v>
      </c>
      <c r="C48" t="s">
        <v>183</v>
      </c>
      <c r="D48">
        <v>156</v>
      </c>
      <c r="E48" t="s">
        <v>247</v>
      </c>
      <c r="F48" t="s">
        <v>248</v>
      </c>
      <c r="G48" t="s">
        <v>249</v>
      </c>
      <c r="H48" t="s">
        <v>272</v>
      </c>
      <c r="I48" t="s">
        <v>54</v>
      </c>
      <c r="J48" t="s">
        <v>273</v>
      </c>
      <c r="K48" t="s">
        <v>56</v>
      </c>
      <c r="L48">
        <v>0</v>
      </c>
      <c r="M48" t="s">
        <v>73</v>
      </c>
      <c r="N48">
        <v>0</v>
      </c>
      <c r="O48" t="s">
        <v>58</v>
      </c>
      <c r="P48" t="s">
        <v>59</v>
      </c>
      <c r="Q48" t="s">
        <v>274</v>
      </c>
      <c r="R48" t="s">
        <v>273</v>
      </c>
      <c r="S48" s="1">
        <v>44424</v>
      </c>
      <c r="T48" s="1">
        <v>44427</v>
      </c>
      <c r="U48">
        <v>26102</v>
      </c>
      <c r="V48" t="s">
        <v>280</v>
      </c>
      <c r="W48" t="s">
        <v>275</v>
      </c>
      <c r="X48" s="1">
        <v>44431</v>
      </c>
      <c r="Y48" t="s">
        <v>63</v>
      </c>
      <c r="Z48">
        <v>742.46</v>
      </c>
      <c r="AA48">
        <v>16</v>
      </c>
      <c r="AB48">
        <v>115.69</v>
      </c>
      <c r="AC48">
        <v>0</v>
      </c>
      <c r="AD48">
        <v>858.15</v>
      </c>
      <c r="AE48">
        <v>6262.92</v>
      </c>
      <c r="AF48">
        <v>3818</v>
      </c>
      <c r="AG48" t="s">
        <v>281</v>
      </c>
      <c r="AH48" t="s">
        <v>65</v>
      </c>
      <c r="AI48" t="s">
        <v>65</v>
      </c>
      <c r="AJ48" t="s">
        <v>66</v>
      </c>
      <c r="AK48" t="s">
        <v>66</v>
      </c>
      <c r="AL48" t="s">
        <v>66</v>
      </c>
      <c r="AM48" s="2" t="str">
        <f>HYPERLINK("https://transparencia.cidesi.mx/comprobantes/2021/CQ2100679 /C113E70C611-5DF3-4A7E-AD6E-835791BE6CD3.pdf")</f>
        <v>https://transparencia.cidesi.mx/comprobantes/2021/CQ2100679 /C113E70C611-5DF3-4A7E-AD6E-835791BE6CD3.pdf</v>
      </c>
      <c r="AN48" t="str">
        <f>HYPERLINK("https://transparencia.cidesi.mx/comprobantes/2021/CQ2100679 /C113E70C611-5DF3-4A7E-AD6E-835791BE6CD3.pdf")</f>
        <v>https://transparencia.cidesi.mx/comprobantes/2021/CQ2100679 /C113E70C611-5DF3-4A7E-AD6E-835791BE6CD3.pdf</v>
      </c>
      <c r="AO48" t="str">
        <f>HYPERLINK("https://transparencia.cidesi.mx/comprobantes/2021/CQ2100679 /C113E70C611-5DF3-4A7E-AD6E-835791BE6CD3.xml")</f>
        <v>https://transparencia.cidesi.mx/comprobantes/2021/CQ2100679 /C113E70C611-5DF3-4A7E-AD6E-835791BE6CD3.xml</v>
      </c>
      <c r="AP48" t="s">
        <v>276</v>
      </c>
      <c r="AQ48" t="s">
        <v>277</v>
      </c>
      <c r="AR48" t="s">
        <v>278</v>
      </c>
      <c r="AS48" t="s">
        <v>271</v>
      </c>
      <c r="AT48" s="1">
        <v>44433</v>
      </c>
      <c r="AU48" s="1">
        <v>44433</v>
      </c>
    </row>
    <row r="49" spans="1:47" x14ac:dyDescent="0.3">
      <c r="A49" t="s">
        <v>246</v>
      </c>
      <c r="B49" t="s">
        <v>182</v>
      </c>
      <c r="C49" t="s">
        <v>183</v>
      </c>
      <c r="D49">
        <v>156</v>
      </c>
      <c r="E49" t="s">
        <v>247</v>
      </c>
      <c r="F49" t="s">
        <v>248</v>
      </c>
      <c r="G49" t="s">
        <v>249</v>
      </c>
      <c r="H49" t="s">
        <v>272</v>
      </c>
      <c r="I49" t="s">
        <v>54</v>
      </c>
      <c r="J49" t="s">
        <v>273</v>
      </c>
      <c r="K49" t="s">
        <v>56</v>
      </c>
      <c r="L49">
        <v>0</v>
      </c>
      <c r="M49" t="s">
        <v>73</v>
      </c>
      <c r="N49">
        <v>0</v>
      </c>
      <c r="O49" t="s">
        <v>58</v>
      </c>
      <c r="P49" t="s">
        <v>59</v>
      </c>
      <c r="Q49" t="s">
        <v>274</v>
      </c>
      <c r="R49" t="s">
        <v>273</v>
      </c>
      <c r="S49" s="1">
        <v>44424</v>
      </c>
      <c r="T49" s="1">
        <v>44427</v>
      </c>
      <c r="U49">
        <v>26102</v>
      </c>
      <c r="V49" t="s">
        <v>280</v>
      </c>
      <c r="W49" t="s">
        <v>275</v>
      </c>
      <c r="X49" s="1">
        <v>44431</v>
      </c>
      <c r="Y49" t="s">
        <v>63</v>
      </c>
      <c r="Z49">
        <v>602.85</v>
      </c>
      <c r="AA49">
        <v>16</v>
      </c>
      <c r="AB49">
        <v>94.03</v>
      </c>
      <c r="AC49">
        <v>0</v>
      </c>
      <c r="AD49">
        <v>696.88</v>
      </c>
      <c r="AE49">
        <v>6262.92</v>
      </c>
      <c r="AF49">
        <v>3818</v>
      </c>
      <c r="AG49" t="s">
        <v>281</v>
      </c>
      <c r="AH49" t="s">
        <v>65</v>
      </c>
      <c r="AI49" t="s">
        <v>65</v>
      </c>
      <c r="AJ49" t="s">
        <v>66</v>
      </c>
      <c r="AK49" t="s">
        <v>66</v>
      </c>
      <c r="AL49" t="s">
        <v>66</v>
      </c>
      <c r="AM49" s="2" t="str">
        <f>HYPERLINK("https://transparencia.cidesi.mx/comprobantes/2021/CQ2100679 /C12ESE930624B79-ECAC-139236.pdf")</f>
        <v>https://transparencia.cidesi.mx/comprobantes/2021/CQ2100679 /C12ESE930624B79-ECAC-139236.pdf</v>
      </c>
      <c r="AN49" t="str">
        <f>HYPERLINK("https://transparencia.cidesi.mx/comprobantes/2021/CQ2100679 /C12ESE930624B79-ECAC-139236.pdf")</f>
        <v>https://transparencia.cidesi.mx/comprobantes/2021/CQ2100679 /C12ESE930624B79-ECAC-139236.pdf</v>
      </c>
      <c r="AO49" t="str">
        <f>HYPERLINK("https://transparencia.cidesi.mx/comprobantes/2021/CQ2100679 /C12ESE930624B79-ECAC-139236.xml")</f>
        <v>https://transparencia.cidesi.mx/comprobantes/2021/CQ2100679 /C12ESE930624B79-ECAC-139236.xml</v>
      </c>
      <c r="AP49" t="s">
        <v>276</v>
      </c>
      <c r="AQ49" t="s">
        <v>277</v>
      </c>
      <c r="AR49" t="s">
        <v>278</v>
      </c>
      <c r="AS49" t="s">
        <v>271</v>
      </c>
      <c r="AT49" s="1">
        <v>44433</v>
      </c>
      <c r="AU49" s="1">
        <v>44433</v>
      </c>
    </row>
    <row r="50" spans="1:47" x14ac:dyDescent="0.3">
      <c r="A50" t="s">
        <v>246</v>
      </c>
      <c r="B50" t="s">
        <v>182</v>
      </c>
      <c r="C50" t="s">
        <v>183</v>
      </c>
      <c r="D50">
        <v>156</v>
      </c>
      <c r="E50" t="s">
        <v>247</v>
      </c>
      <c r="F50" t="s">
        <v>248</v>
      </c>
      <c r="G50" t="s">
        <v>249</v>
      </c>
      <c r="H50" t="s">
        <v>282</v>
      </c>
      <c r="I50" t="s">
        <v>54</v>
      </c>
      <c r="J50" t="s">
        <v>283</v>
      </c>
      <c r="K50" t="s">
        <v>56</v>
      </c>
      <c r="L50">
        <v>0</v>
      </c>
      <c r="M50" t="s">
        <v>73</v>
      </c>
      <c r="N50">
        <v>0</v>
      </c>
      <c r="O50" t="s">
        <v>58</v>
      </c>
      <c r="P50" t="s">
        <v>59</v>
      </c>
      <c r="Q50" t="s">
        <v>60</v>
      </c>
      <c r="R50" t="s">
        <v>283</v>
      </c>
      <c r="S50" s="1">
        <v>44439</v>
      </c>
      <c r="T50" s="1">
        <v>44439</v>
      </c>
      <c r="U50">
        <v>37501</v>
      </c>
      <c r="V50" t="s">
        <v>61</v>
      </c>
      <c r="W50" t="s">
        <v>284</v>
      </c>
      <c r="X50" s="1">
        <v>44440</v>
      </c>
      <c r="Y50" t="s">
        <v>100</v>
      </c>
      <c r="Z50">
        <v>129.31</v>
      </c>
      <c r="AA50">
        <v>16</v>
      </c>
      <c r="AB50">
        <v>20.69</v>
      </c>
      <c r="AC50">
        <v>0</v>
      </c>
      <c r="AD50">
        <v>150</v>
      </c>
      <c r="AE50">
        <v>441.5</v>
      </c>
      <c r="AF50">
        <v>545</v>
      </c>
      <c r="AG50" t="s">
        <v>254</v>
      </c>
      <c r="AH50" t="s">
        <v>65</v>
      </c>
      <c r="AI50" t="s">
        <v>65</v>
      </c>
      <c r="AJ50" t="s">
        <v>66</v>
      </c>
      <c r="AK50" t="s">
        <v>66</v>
      </c>
      <c r="AL50" t="s">
        <v>66</v>
      </c>
      <c r="AM50" s="2" t="str">
        <f>HYPERLINK("https://transparencia.cidesi.mx/comprobantes/2021/CQ2100717 /C1RORR791119M94_Factura__38031_03322F7C-CC76-40BC-B9C0-8FC444D2E3BD.pdf")</f>
        <v>https://transparencia.cidesi.mx/comprobantes/2021/CQ2100717 /C1RORR791119M94_Factura__38031_03322F7C-CC76-40BC-B9C0-8FC444D2E3BD.pdf</v>
      </c>
      <c r="AN50" t="str">
        <f>HYPERLINK("https://transparencia.cidesi.mx/comprobantes/2021/CQ2100717 /C1RORR791119M94_Factura__38031_03322F7C-CC76-40BC-B9C0-8FC444D2E3BD.pdf")</f>
        <v>https://transparencia.cidesi.mx/comprobantes/2021/CQ2100717 /C1RORR791119M94_Factura__38031_03322F7C-CC76-40BC-B9C0-8FC444D2E3BD.pdf</v>
      </c>
      <c r="AO50" t="str">
        <f>HYPERLINK("https://transparencia.cidesi.mx/comprobantes/2021/CQ2100717 /C1RORR791119M94_Factura__38031_03322F7C-CC76-40BC-B9C0-8FC444D2E3BD.xml")</f>
        <v>https://transparencia.cidesi.mx/comprobantes/2021/CQ2100717 /C1RORR791119M94_Factura__38031_03322F7C-CC76-40BC-B9C0-8FC444D2E3BD.xml</v>
      </c>
      <c r="AP50" t="s">
        <v>285</v>
      </c>
      <c r="AQ50" t="s">
        <v>286</v>
      </c>
      <c r="AR50" t="s">
        <v>287</v>
      </c>
      <c r="AS50" t="s">
        <v>288</v>
      </c>
      <c r="AT50" s="1">
        <v>44440</v>
      </c>
      <c r="AU50" t="s">
        <v>73</v>
      </c>
    </row>
    <row r="51" spans="1:47" x14ac:dyDescent="0.3">
      <c r="A51" t="s">
        <v>246</v>
      </c>
      <c r="B51" t="s">
        <v>182</v>
      </c>
      <c r="C51" t="s">
        <v>183</v>
      </c>
      <c r="D51">
        <v>156</v>
      </c>
      <c r="E51" t="s">
        <v>247</v>
      </c>
      <c r="F51" t="s">
        <v>248</v>
      </c>
      <c r="G51" t="s">
        <v>249</v>
      </c>
      <c r="H51" t="s">
        <v>282</v>
      </c>
      <c r="I51" t="s">
        <v>54</v>
      </c>
      <c r="J51" t="s">
        <v>283</v>
      </c>
      <c r="K51" t="s">
        <v>56</v>
      </c>
      <c r="L51">
        <v>0</v>
      </c>
      <c r="M51" t="s">
        <v>73</v>
      </c>
      <c r="N51">
        <v>0</v>
      </c>
      <c r="O51" t="s">
        <v>58</v>
      </c>
      <c r="P51" t="s">
        <v>59</v>
      </c>
      <c r="Q51" t="s">
        <v>60</v>
      </c>
      <c r="R51" t="s">
        <v>283</v>
      </c>
      <c r="S51" s="1">
        <v>44439</v>
      </c>
      <c r="T51" s="1">
        <v>44439</v>
      </c>
      <c r="U51">
        <v>37501</v>
      </c>
      <c r="V51" t="s">
        <v>61</v>
      </c>
      <c r="W51" t="s">
        <v>284</v>
      </c>
      <c r="X51" s="1">
        <v>44440</v>
      </c>
      <c r="Y51" t="s">
        <v>100</v>
      </c>
      <c r="Z51">
        <v>228.45</v>
      </c>
      <c r="AA51">
        <v>16</v>
      </c>
      <c r="AB51">
        <v>36.549999999999997</v>
      </c>
      <c r="AC51">
        <v>26.5</v>
      </c>
      <c r="AD51">
        <v>291.5</v>
      </c>
      <c r="AE51">
        <v>441.5</v>
      </c>
      <c r="AF51">
        <v>545</v>
      </c>
      <c r="AG51" t="s">
        <v>254</v>
      </c>
      <c r="AH51" t="s">
        <v>65</v>
      </c>
      <c r="AI51" t="s">
        <v>65</v>
      </c>
      <c r="AJ51" t="s">
        <v>66</v>
      </c>
      <c r="AK51" t="s">
        <v>66</v>
      </c>
      <c r="AL51" t="s">
        <v>66</v>
      </c>
      <c r="AM51" s="2" t="str">
        <f>HYPERLINK("https://transparencia.cidesi.mx/comprobantes/2021/CQ2100717 /C2RORR791119M94_Factura__38043_8438ECFC-73F7-4690-B8B1-4F890FCD458C.pdf")</f>
        <v>https://transparencia.cidesi.mx/comprobantes/2021/CQ2100717 /C2RORR791119M94_Factura__38043_8438ECFC-73F7-4690-B8B1-4F890FCD458C.pdf</v>
      </c>
      <c r="AN51" t="str">
        <f>HYPERLINK("https://transparencia.cidesi.mx/comprobantes/2021/CQ2100717 /C2RORR791119M94_Factura__38043_8438ECFC-73F7-4690-B8B1-4F890FCD458C.pdf")</f>
        <v>https://transparencia.cidesi.mx/comprobantes/2021/CQ2100717 /C2RORR791119M94_Factura__38043_8438ECFC-73F7-4690-B8B1-4F890FCD458C.pdf</v>
      </c>
      <c r="AO51" t="str">
        <f>HYPERLINK("https://transparencia.cidesi.mx/comprobantes/2021/CQ2100717 /C2RORR791119M94_Factura__38043_8438ECFC-73F7-4690-B8B1-4F890FCD458C.xml")</f>
        <v>https://transparencia.cidesi.mx/comprobantes/2021/CQ2100717 /C2RORR791119M94_Factura__38043_8438ECFC-73F7-4690-B8B1-4F890FCD458C.xml</v>
      </c>
      <c r="AP51" t="s">
        <v>285</v>
      </c>
      <c r="AQ51" t="s">
        <v>286</v>
      </c>
      <c r="AR51" t="s">
        <v>287</v>
      </c>
      <c r="AS51" t="s">
        <v>288</v>
      </c>
      <c r="AT51" s="1">
        <v>44440</v>
      </c>
      <c r="AU51" t="s">
        <v>73</v>
      </c>
    </row>
    <row r="52" spans="1:47" x14ac:dyDescent="0.3">
      <c r="A52" t="s">
        <v>246</v>
      </c>
      <c r="B52" t="s">
        <v>182</v>
      </c>
      <c r="C52" t="s">
        <v>183</v>
      </c>
      <c r="D52">
        <v>156</v>
      </c>
      <c r="E52" t="s">
        <v>247</v>
      </c>
      <c r="F52" t="s">
        <v>248</v>
      </c>
      <c r="G52" t="s">
        <v>249</v>
      </c>
      <c r="H52" t="s">
        <v>289</v>
      </c>
      <c r="I52" t="s">
        <v>54</v>
      </c>
      <c r="J52" t="s">
        <v>290</v>
      </c>
      <c r="K52" t="s">
        <v>56</v>
      </c>
      <c r="L52">
        <v>0</v>
      </c>
      <c r="M52" t="s">
        <v>73</v>
      </c>
      <c r="N52">
        <v>0</v>
      </c>
      <c r="O52" t="s">
        <v>58</v>
      </c>
      <c r="P52" t="s">
        <v>59</v>
      </c>
      <c r="Q52" t="s">
        <v>60</v>
      </c>
      <c r="R52" t="s">
        <v>290</v>
      </c>
      <c r="S52" s="1">
        <v>44460</v>
      </c>
      <c r="T52" s="1">
        <v>44460</v>
      </c>
      <c r="U52">
        <v>37501</v>
      </c>
      <c r="V52" t="s">
        <v>61</v>
      </c>
      <c r="W52" t="s">
        <v>291</v>
      </c>
      <c r="X52" s="1">
        <v>44463</v>
      </c>
      <c r="Y52" t="s">
        <v>63</v>
      </c>
      <c r="Z52">
        <v>142.25</v>
      </c>
      <c r="AA52">
        <v>16</v>
      </c>
      <c r="AB52">
        <v>22.76</v>
      </c>
      <c r="AC52">
        <v>0</v>
      </c>
      <c r="AD52">
        <v>165.01</v>
      </c>
      <c r="AE52">
        <v>420.01</v>
      </c>
      <c r="AF52">
        <v>545</v>
      </c>
      <c r="AG52" t="s">
        <v>254</v>
      </c>
      <c r="AH52" t="s">
        <v>65</v>
      </c>
      <c r="AI52" t="s">
        <v>65</v>
      </c>
      <c r="AJ52" t="s">
        <v>66</v>
      </c>
      <c r="AK52" t="s">
        <v>66</v>
      </c>
      <c r="AL52" t="s">
        <v>66</v>
      </c>
      <c r="AM52" s="2" t="str">
        <f>HYPERLINK("https://transparencia.cidesi.mx/comprobantes/2021/CQ2100873 /C1CID840309UG7_F_0000033232.pdf")</f>
        <v>https://transparencia.cidesi.mx/comprobantes/2021/CQ2100873 /C1CID840309UG7_F_0000033232.pdf</v>
      </c>
      <c r="AN52" t="str">
        <f>HYPERLINK("https://transparencia.cidesi.mx/comprobantes/2021/CQ2100873 /C1CID840309UG7_F_0000033232.pdf")</f>
        <v>https://transparencia.cidesi.mx/comprobantes/2021/CQ2100873 /C1CID840309UG7_F_0000033232.pdf</v>
      </c>
      <c r="AO52" t="str">
        <f>HYPERLINK("https://transparencia.cidesi.mx/comprobantes/2021/CQ2100873 /C1CID840309UG7_F_0000033232.xml")</f>
        <v>https://transparencia.cidesi.mx/comprobantes/2021/CQ2100873 /C1CID840309UG7_F_0000033232.xml</v>
      </c>
      <c r="AP52" t="s">
        <v>292</v>
      </c>
      <c r="AQ52" t="s">
        <v>293</v>
      </c>
      <c r="AR52" t="s">
        <v>294</v>
      </c>
      <c r="AS52" t="s">
        <v>271</v>
      </c>
      <c r="AT52" s="1">
        <v>44463</v>
      </c>
      <c r="AU52" s="1">
        <v>44470</v>
      </c>
    </row>
    <row r="53" spans="1:47" x14ac:dyDescent="0.3">
      <c r="A53" t="s">
        <v>246</v>
      </c>
      <c r="B53" t="s">
        <v>182</v>
      </c>
      <c r="C53" t="s">
        <v>183</v>
      </c>
      <c r="D53">
        <v>156</v>
      </c>
      <c r="E53" t="s">
        <v>247</v>
      </c>
      <c r="F53" t="s">
        <v>248</v>
      </c>
      <c r="G53" t="s">
        <v>249</v>
      </c>
      <c r="H53" t="s">
        <v>289</v>
      </c>
      <c r="I53" t="s">
        <v>54</v>
      </c>
      <c r="J53" t="s">
        <v>290</v>
      </c>
      <c r="K53" t="s">
        <v>56</v>
      </c>
      <c r="L53">
        <v>0</v>
      </c>
      <c r="M53" t="s">
        <v>73</v>
      </c>
      <c r="N53">
        <v>0</v>
      </c>
      <c r="O53" t="s">
        <v>58</v>
      </c>
      <c r="P53" t="s">
        <v>59</v>
      </c>
      <c r="Q53" t="s">
        <v>60</v>
      </c>
      <c r="R53" t="s">
        <v>290</v>
      </c>
      <c r="S53" s="1">
        <v>44460</v>
      </c>
      <c r="T53" s="1">
        <v>44460</v>
      </c>
      <c r="U53">
        <v>37501</v>
      </c>
      <c r="V53" t="s">
        <v>61</v>
      </c>
      <c r="W53" t="s">
        <v>291</v>
      </c>
      <c r="X53" s="1">
        <v>44463</v>
      </c>
      <c r="Y53" t="s">
        <v>63</v>
      </c>
      <c r="Z53">
        <v>175</v>
      </c>
      <c r="AA53">
        <v>16</v>
      </c>
      <c r="AB53">
        <v>28</v>
      </c>
      <c r="AC53">
        <v>0</v>
      </c>
      <c r="AD53">
        <v>203</v>
      </c>
      <c r="AE53">
        <v>420.01</v>
      </c>
      <c r="AF53">
        <v>545</v>
      </c>
      <c r="AG53" t="s">
        <v>254</v>
      </c>
      <c r="AH53" t="s">
        <v>65</v>
      </c>
      <c r="AI53" t="s">
        <v>65</v>
      </c>
      <c r="AJ53" t="s">
        <v>66</v>
      </c>
      <c r="AK53" t="s">
        <v>66</v>
      </c>
      <c r="AL53" t="s">
        <v>66</v>
      </c>
      <c r="AM53" s="2" t="str">
        <f>HYPERLINK("https://transparencia.cidesi.mx/comprobantes/2021/CQ2100873 /C2aaa170e4-4fdd-4c9b-b49d-27595b4610c8.pdf")</f>
        <v>https://transparencia.cidesi.mx/comprobantes/2021/CQ2100873 /C2aaa170e4-4fdd-4c9b-b49d-27595b4610c8.pdf</v>
      </c>
      <c r="AN53" t="str">
        <f>HYPERLINK("https://transparencia.cidesi.mx/comprobantes/2021/CQ2100873 /C2aaa170e4-4fdd-4c9b-b49d-27595b4610c8.pdf")</f>
        <v>https://transparencia.cidesi.mx/comprobantes/2021/CQ2100873 /C2aaa170e4-4fdd-4c9b-b49d-27595b4610c8.pdf</v>
      </c>
      <c r="AO53" t="str">
        <f>HYPERLINK("https://transparencia.cidesi.mx/comprobantes/2021/CQ2100873 /C2aaa170e4-4fdd-4c9b-b49d-27595b4610c8.xml")</f>
        <v>https://transparencia.cidesi.mx/comprobantes/2021/CQ2100873 /C2aaa170e4-4fdd-4c9b-b49d-27595b4610c8.xml</v>
      </c>
      <c r="AP53" t="s">
        <v>292</v>
      </c>
      <c r="AQ53" t="s">
        <v>293</v>
      </c>
      <c r="AR53" t="s">
        <v>294</v>
      </c>
      <c r="AS53" t="s">
        <v>271</v>
      </c>
      <c r="AT53" s="1">
        <v>44463</v>
      </c>
      <c r="AU53" s="1">
        <v>44470</v>
      </c>
    </row>
    <row r="54" spans="1:47" x14ac:dyDescent="0.3">
      <c r="A54" t="s">
        <v>246</v>
      </c>
      <c r="B54" t="s">
        <v>182</v>
      </c>
      <c r="C54" t="s">
        <v>183</v>
      </c>
      <c r="D54">
        <v>156</v>
      </c>
      <c r="E54" t="s">
        <v>247</v>
      </c>
      <c r="F54" t="s">
        <v>248</v>
      </c>
      <c r="G54" t="s">
        <v>249</v>
      </c>
      <c r="H54" t="s">
        <v>289</v>
      </c>
      <c r="I54" t="s">
        <v>54</v>
      </c>
      <c r="J54" t="s">
        <v>290</v>
      </c>
      <c r="K54" t="s">
        <v>56</v>
      </c>
      <c r="L54">
        <v>0</v>
      </c>
      <c r="M54" t="s">
        <v>73</v>
      </c>
      <c r="N54">
        <v>0</v>
      </c>
      <c r="O54" t="s">
        <v>58</v>
      </c>
      <c r="P54" t="s">
        <v>59</v>
      </c>
      <c r="Q54" t="s">
        <v>60</v>
      </c>
      <c r="R54" t="s">
        <v>290</v>
      </c>
      <c r="S54" s="1">
        <v>44460</v>
      </c>
      <c r="T54" s="1">
        <v>44460</v>
      </c>
      <c r="U54">
        <v>37501</v>
      </c>
      <c r="V54" t="s">
        <v>61</v>
      </c>
      <c r="W54" t="s">
        <v>291</v>
      </c>
      <c r="X54" s="1">
        <v>44463</v>
      </c>
      <c r="Y54" t="s">
        <v>63</v>
      </c>
      <c r="Z54">
        <v>52</v>
      </c>
      <c r="AA54">
        <v>0</v>
      </c>
      <c r="AB54">
        <v>0</v>
      </c>
      <c r="AC54">
        <v>0</v>
      </c>
      <c r="AD54">
        <v>52</v>
      </c>
      <c r="AE54">
        <v>420.01</v>
      </c>
      <c r="AF54">
        <v>545</v>
      </c>
      <c r="AG54" t="s">
        <v>254</v>
      </c>
      <c r="AH54" t="s">
        <v>65</v>
      </c>
      <c r="AI54" t="s">
        <v>65</v>
      </c>
      <c r="AJ54" t="s">
        <v>66</v>
      </c>
      <c r="AK54" t="s">
        <v>66</v>
      </c>
      <c r="AL54" t="s">
        <v>66</v>
      </c>
      <c r="AM54" s="2" t="str">
        <f>HYPERLINK("https://transparencia.cidesi.mx/comprobantes/2021/CQ2100873 /C3FACTURA_1632353238756_345560941.pdf")</f>
        <v>https://transparencia.cidesi.mx/comprobantes/2021/CQ2100873 /C3FACTURA_1632353238756_345560941.pdf</v>
      </c>
      <c r="AN54" t="str">
        <f>HYPERLINK("https://transparencia.cidesi.mx/comprobantes/2021/CQ2100873 /C3FACTURA_1632353238756_345560941.pdf")</f>
        <v>https://transparencia.cidesi.mx/comprobantes/2021/CQ2100873 /C3FACTURA_1632353238756_345560941.pdf</v>
      </c>
      <c r="AO54" t="str">
        <f>HYPERLINK("https://transparencia.cidesi.mx/comprobantes/2021/CQ2100873 /C3FACTURA_1632353238756_345560941.xml")</f>
        <v>https://transparencia.cidesi.mx/comprobantes/2021/CQ2100873 /C3FACTURA_1632353238756_345560941.xml</v>
      </c>
      <c r="AP54" t="s">
        <v>292</v>
      </c>
      <c r="AQ54" t="s">
        <v>293</v>
      </c>
      <c r="AR54" t="s">
        <v>294</v>
      </c>
      <c r="AS54" t="s">
        <v>271</v>
      </c>
      <c r="AT54" s="1">
        <v>44463</v>
      </c>
      <c r="AU54" s="1">
        <v>44470</v>
      </c>
    </row>
    <row r="55" spans="1:47" x14ac:dyDescent="0.3">
      <c r="A55" t="s">
        <v>246</v>
      </c>
      <c r="B55" t="s">
        <v>182</v>
      </c>
      <c r="C55" t="s">
        <v>183</v>
      </c>
      <c r="D55">
        <v>156</v>
      </c>
      <c r="E55" t="s">
        <v>247</v>
      </c>
      <c r="F55" t="s">
        <v>248</v>
      </c>
      <c r="G55" t="s">
        <v>249</v>
      </c>
      <c r="H55" t="s">
        <v>295</v>
      </c>
      <c r="I55" t="s">
        <v>54</v>
      </c>
      <c r="J55" t="s">
        <v>296</v>
      </c>
      <c r="K55" t="s">
        <v>56</v>
      </c>
      <c r="L55">
        <v>0</v>
      </c>
      <c r="M55" t="s">
        <v>73</v>
      </c>
      <c r="N55">
        <v>0</v>
      </c>
      <c r="O55" t="s">
        <v>58</v>
      </c>
      <c r="P55" t="s">
        <v>59</v>
      </c>
      <c r="Q55" t="s">
        <v>297</v>
      </c>
      <c r="R55" t="s">
        <v>296</v>
      </c>
      <c r="S55" s="1">
        <v>44467</v>
      </c>
      <c r="T55" s="1">
        <v>44469</v>
      </c>
      <c r="U55">
        <v>37501</v>
      </c>
      <c r="V55" t="s">
        <v>104</v>
      </c>
      <c r="W55" t="s">
        <v>298</v>
      </c>
      <c r="X55" s="1">
        <v>44470</v>
      </c>
      <c r="Y55" t="s">
        <v>207</v>
      </c>
      <c r="Z55">
        <v>878.45</v>
      </c>
      <c r="AA55">
        <v>16</v>
      </c>
      <c r="AB55">
        <v>140.55000000000001</v>
      </c>
      <c r="AC55">
        <v>0</v>
      </c>
      <c r="AD55">
        <v>1019</v>
      </c>
      <c r="AE55">
        <v>2708.16</v>
      </c>
      <c r="AF55">
        <v>2727</v>
      </c>
      <c r="AG55" t="s">
        <v>279</v>
      </c>
      <c r="AH55" t="s">
        <v>65</v>
      </c>
      <c r="AI55" t="s">
        <v>65</v>
      </c>
      <c r="AJ55" t="s">
        <v>66</v>
      </c>
      <c r="AK55" t="s">
        <v>66</v>
      </c>
      <c r="AL55" t="s">
        <v>66</v>
      </c>
      <c r="AM55" s="2" t="str">
        <f>HYPERLINK("https://transparencia.cidesi.mx/comprobantes/2021/CQ2100923 /C1MTH-34876.pdf")</f>
        <v>https://transparencia.cidesi.mx/comprobantes/2021/CQ2100923 /C1MTH-34876.pdf</v>
      </c>
      <c r="AN55" t="str">
        <f>HYPERLINK("https://transparencia.cidesi.mx/comprobantes/2021/CQ2100923 /C1MTH-34876.pdf")</f>
        <v>https://transparencia.cidesi.mx/comprobantes/2021/CQ2100923 /C1MTH-34876.pdf</v>
      </c>
      <c r="AO55" t="str">
        <f>HYPERLINK("https://transparencia.cidesi.mx/comprobantes/2021/CQ2100923 /C1MTH-34876.xml")</f>
        <v>https://transparencia.cidesi.mx/comprobantes/2021/CQ2100923 /C1MTH-34876.xml</v>
      </c>
      <c r="AP55" t="s">
        <v>299</v>
      </c>
      <c r="AQ55" t="s">
        <v>300</v>
      </c>
      <c r="AR55" t="s">
        <v>257</v>
      </c>
      <c r="AS55" t="s">
        <v>301</v>
      </c>
      <c r="AT55" s="1">
        <v>44473</v>
      </c>
      <c r="AU55" t="s">
        <v>73</v>
      </c>
    </row>
    <row r="56" spans="1:47" x14ac:dyDescent="0.3">
      <c r="A56" t="s">
        <v>246</v>
      </c>
      <c r="B56" t="s">
        <v>182</v>
      </c>
      <c r="C56" t="s">
        <v>183</v>
      </c>
      <c r="D56">
        <v>156</v>
      </c>
      <c r="E56" t="s">
        <v>247</v>
      </c>
      <c r="F56" t="s">
        <v>248</v>
      </c>
      <c r="G56" t="s">
        <v>249</v>
      </c>
      <c r="H56" t="s">
        <v>295</v>
      </c>
      <c r="I56" t="s">
        <v>54</v>
      </c>
      <c r="J56" t="s">
        <v>296</v>
      </c>
      <c r="K56" t="s">
        <v>56</v>
      </c>
      <c r="L56">
        <v>0</v>
      </c>
      <c r="M56" t="s">
        <v>73</v>
      </c>
      <c r="N56">
        <v>0</v>
      </c>
      <c r="O56" t="s">
        <v>58</v>
      </c>
      <c r="P56" t="s">
        <v>59</v>
      </c>
      <c r="Q56" t="s">
        <v>297</v>
      </c>
      <c r="R56" t="s">
        <v>296</v>
      </c>
      <c r="S56" s="1">
        <v>44467</v>
      </c>
      <c r="T56" s="1">
        <v>44469</v>
      </c>
      <c r="U56">
        <v>37501</v>
      </c>
      <c r="V56" t="s">
        <v>104</v>
      </c>
      <c r="W56" t="s">
        <v>298</v>
      </c>
      <c r="X56" s="1">
        <v>44470</v>
      </c>
      <c r="Y56" t="s">
        <v>207</v>
      </c>
      <c r="Z56">
        <v>772.29</v>
      </c>
      <c r="AA56">
        <v>16</v>
      </c>
      <c r="AB56">
        <v>119.97</v>
      </c>
      <c r="AC56">
        <v>0</v>
      </c>
      <c r="AD56">
        <v>892.26</v>
      </c>
      <c r="AE56">
        <v>2708.16</v>
      </c>
      <c r="AF56">
        <v>2727</v>
      </c>
      <c r="AG56" t="s">
        <v>279</v>
      </c>
      <c r="AH56" t="s">
        <v>65</v>
      </c>
      <c r="AI56" t="s">
        <v>65</v>
      </c>
      <c r="AJ56" t="s">
        <v>66</v>
      </c>
      <c r="AK56" t="s">
        <v>66</v>
      </c>
      <c r="AL56" t="s">
        <v>66</v>
      </c>
      <c r="AM56" s="2" t="str">
        <f>HYPERLINK("https://transparencia.cidesi.mx/comprobantes/2021/CQ2100923 /C2B81168.pdf")</f>
        <v>https://transparencia.cidesi.mx/comprobantes/2021/CQ2100923 /C2B81168.pdf</v>
      </c>
      <c r="AN56" t="str">
        <f>HYPERLINK("https://transparencia.cidesi.mx/comprobantes/2021/CQ2100923 /C2B81168.pdf")</f>
        <v>https://transparencia.cidesi.mx/comprobantes/2021/CQ2100923 /C2B81168.pdf</v>
      </c>
      <c r="AO56" t="str">
        <f>HYPERLINK("https://transparencia.cidesi.mx/comprobantes/2021/CQ2100923 /C2B81168.xml")</f>
        <v>https://transparencia.cidesi.mx/comprobantes/2021/CQ2100923 /C2B81168.xml</v>
      </c>
      <c r="AP56" t="s">
        <v>299</v>
      </c>
      <c r="AQ56" t="s">
        <v>300</v>
      </c>
      <c r="AR56" t="s">
        <v>257</v>
      </c>
      <c r="AS56" t="s">
        <v>301</v>
      </c>
      <c r="AT56" s="1">
        <v>44473</v>
      </c>
      <c r="AU56" t="s">
        <v>73</v>
      </c>
    </row>
    <row r="57" spans="1:47" x14ac:dyDescent="0.3">
      <c r="A57" t="s">
        <v>246</v>
      </c>
      <c r="B57" t="s">
        <v>182</v>
      </c>
      <c r="C57" t="s">
        <v>183</v>
      </c>
      <c r="D57">
        <v>156</v>
      </c>
      <c r="E57" t="s">
        <v>247</v>
      </c>
      <c r="F57" t="s">
        <v>248</v>
      </c>
      <c r="G57" t="s">
        <v>249</v>
      </c>
      <c r="H57" t="s">
        <v>295</v>
      </c>
      <c r="I57" t="s">
        <v>54</v>
      </c>
      <c r="J57" t="s">
        <v>296</v>
      </c>
      <c r="K57" t="s">
        <v>56</v>
      </c>
      <c r="L57">
        <v>0</v>
      </c>
      <c r="M57" t="s">
        <v>73</v>
      </c>
      <c r="N57">
        <v>0</v>
      </c>
      <c r="O57" t="s">
        <v>58</v>
      </c>
      <c r="P57" t="s">
        <v>59</v>
      </c>
      <c r="Q57" t="s">
        <v>297</v>
      </c>
      <c r="R57" t="s">
        <v>296</v>
      </c>
      <c r="S57" s="1">
        <v>44467</v>
      </c>
      <c r="T57" s="1">
        <v>44469</v>
      </c>
      <c r="U57">
        <v>37501</v>
      </c>
      <c r="V57" t="s">
        <v>61</v>
      </c>
      <c r="W57" t="s">
        <v>298</v>
      </c>
      <c r="X57" s="1">
        <v>44470</v>
      </c>
      <c r="Y57" t="s">
        <v>207</v>
      </c>
      <c r="Z57">
        <v>215.52</v>
      </c>
      <c r="AA57">
        <v>16</v>
      </c>
      <c r="AB57">
        <v>34.479999999999997</v>
      </c>
      <c r="AC57">
        <v>0</v>
      </c>
      <c r="AD57">
        <v>250</v>
      </c>
      <c r="AE57">
        <v>2708.16</v>
      </c>
      <c r="AF57">
        <v>2727</v>
      </c>
      <c r="AG57" t="s">
        <v>254</v>
      </c>
      <c r="AH57" t="s">
        <v>65</v>
      </c>
      <c r="AI57" t="s">
        <v>65</v>
      </c>
      <c r="AJ57" t="s">
        <v>66</v>
      </c>
      <c r="AK57" t="s">
        <v>66</v>
      </c>
      <c r="AL57" t="s">
        <v>66</v>
      </c>
      <c r="AM57" s="2" t="str">
        <f>HYPERLINK("https://transparencia.cidesi.mx/comprobantes/2021/CQ2100923 /C3MTH-34782.pdf")</f>
        <v>https://transparencia.cidesi.mx/comprobantes/2021/CQ2100923 /C3MTH-34782.pdf</v>
      </c>
      <c r="AN57" t="str">
        <f>HYPERLINK("https://transparencia.cidesi.mx/comprobantes/2021/CQ2100923 /C3MTH-34782.pdf")</f>
        <v>https://transparencia.cidesi.mx/comprobantes/2021/CQ2100923 /C3MTH-34782.pdf</v>
      </c>
      <c r="AO57" t="str">
        <f>HYPERLINK("https://transparencia.cidesi.mx/comprobantes/2021/CQ2100923 /C3MTH-34782.xml")</f>
        <v>https://transparencia.cidesi.mx/comprobantes/2021/CQ2100923 /C3MTH-34782.xml</v>
      </c>
      <c r="AP57" t="s">
        <v>299</v>
      </c>
      <c r="AQ57" t="s">
        <v>300</v>
      </c>
      <c r="AR57" t="s">
        <v>257</v>
      </c>
      <c r="AS57" t="s">
        <v>301</v>
      </c>
      <c r="AT57" s="1">
        <v>44473</v>
      </c>
      <c r="AU57" t="s">
        <v>73</v>
      </c>
    </row>
    <row r="58" spans="1:47" x14ac:dyDescent="0.3">
      <c r="A58" t="s">
        <v>246</v>
      </c>
      <c r="B58" t="s">
        <v>182</v>
      </c>
      <c r="C58" t="s">
        <v>183</v>
      </c>
      <c r="D58">
        <v>156</v>
      </c>
      <c r="E58" t="s">
        <v>247</v>
      </c>
      <c r="F58" t="s">
        <v>248</v>
      </c>
      <c r="G58" t="s">
        <v>249</v>
      </c>
      <c r="H58" t="s">
        <v>295</v>
      </c>
      <c r="I58" t="s">
        <v>54</v>
      </c>
      <c r="J58" t="s">
        <v>296</v>
      </c>
      <c r="K58" t="s">
        <v>56</v>
      </c>
      <c r="L58">
        <v>0</v>
      </c>
      <c r="M58" t="s">
        <v>73</v>
      </c>
      <c r="N58">
        <v>0</v>
      </c>
      <c r="O58" t="s">
        <v>58</v>
      </c>
      <c r="P58" t="s">
        <v>59</v>
      </c>
      <c r="Q58" t="s">
        <v>297</v>
      </c>
      <c r="R58" t="s">
        <v>296</v>
      </c>
      <c r="S58" s="1">
        <v>44467</v>
      </c>
      <c r="T58" s="1">
        <v>44469</v>
      </c>
      <c r="U58">
        <v>37501</v>
      </c>
      <c r="V58" t="s">
        <v>61</v>
      </c>
      <c r="W58" t="s">
        <v>298</v>
      </c>
      <c r="X58" s="1">
        <v>44470</v>
      </c>
      <c r="Y58" t="s">
        <v>207</v>
      </c>
      <c r="Z58">
        <v>330.17</v>
      </c>
      <c r="AA58">
        <v>16</v>
      </c>
      <c r="AB58">
        <v>52.83</v>
      </c>
      <c r="AC58">
        <v>0</v>
      </c>
      <c r="AD58">
        <v>383</v>
      </c>
      <c r="AE58">
        <v>2708.16</v>
      </c>
      <c r="AF58">
        <v>2727</v>
      </c>
      <c r="AG58" t="s">
        <v>254</v>
      </c>
      <c r="AH58" t="s">
        <v>65</v>
      </c>
      <c r="AI58" t="s">
        <v>65</v>
      </c>
      <c r="AJ58" t="s">
        <v>66</v>
      </c>
      <c r="AK58" t="s">
        <v>66</v>
      </c>
      <c r="AL58" t="s">
        <v>66</v>
      </c>
      <c r="AM58" s="2" t="str">
        <f>HYPERLINK("https://transparencia.cidesi.mx/comprobantes/2021/CQ2100923 /C4F7B4E137-B14E-4C52-A44F-FE03B83006DE.pdf")</f>
        <v>https://transparencia.cidesi.mx/comprobantes/2021/CQ2100923 /C4F7B4E137-B14E-4C52-A44F-FE03B83006DE.pdf</v>
      </c>
      <c r="AN58" t="str">
        <f>HYPERLINK("https://transparencia.cidesi.mx/comprobantes/2021/CQ2100923 /C4F7B4E137-B14E-4C52-A44F-FE03B83006DE.pdf")</f>
        <v>https://transparencia.cidesi.mx/comprobantes/2021/CQ2100923 /C4F7B4E137-B14E-4C52-A44F-FE03B83006DE.pdf</v>
      </c>
      <c r="AO58" t="str">
        <f>HYPERLINK("https://transparencia.cidesi.mx/comprobantes/2021/CQ2100923 /C4F7B4E137-B14E-4C52-A44F-FE03B83006DE.xml")</f>
        <v>https://transparencia.cidesi.mx/comprobantes/2021/CQ2100923 /C4F7B4E137-B14E-4C52-A44F-FE03B83006DE.xml</v>
      </c>
      <c r="AP58" t="s">
        <v>299</v>
      </c>
      <c r="AQ58" t="s">
        <v>300</v>
      </c>
      <c r="AR58" t="s">
        <v>257</v>
      </c>
      <c r="AS58" t="s">
        <v>301</v>
      </c>
      <c r="AT58" s="1">
        <v>44473</v>
      </c>
      <c r="AU58" t="s">
        <v>73</v>
      </c>
    </row>
    <row r="59" spans="1:47" x14ac:dyDescent="0.3">
      <c r="A59" t="s">
        <v>246</v>
      </c>
      <c r="B59" t="s">
        <v>182</v>
      </c>
      <c r="C59" t="s">
        <v>183</v>
      </c>
      <c r="D59">
        <v>156</v>
      </c>
      <c r="E59" t="s">
        <v>247</v>
      </c>
      <c r="F59" t="s">
        <v>248</v>
      </c>
      <c r="G59" t="s">
        <v>249</v>
      </c>
      <c r="H59" t="s">
        <v>295</v>
      </c>
      <c r="I59" t="s">
        <v>54</v>
      </c>
      <c r="J59" t="s">
        <v>296</v>
      </c>
      <c r="K59" t="s">
        <v>56</v>
      </c>
      <c r="L59">
        <v>0</v>
      </c>
      <c r="M59" t="s">
        <v>73</v>
      </c>
      <c r="N59">
        <v>0</v>
      </c>
      <c r="O59" t="s">
        <v>58</v>
      </c>
      <c r="P59" t="s">
        <v>59</v>
      </c>
      <c r="Q59" t="s">
        <v>297</v>
      </c>
      <c r="R59" t="s">
        <v>296</v>
      </c>
      <c r="S59" s="1">
        <v>44467</v>
      </c>
      <c r="T59" s="1">
        <v>44469</v>
      </c>
      <c r="U59">
        <v>37501</v>
      </c>
      <c r="V59" t="s">
        <v>104</v>
      </c>
      <c r="W59" t="s">
        <v>298</v>
      </c>
      <c r="X59" s="1">
        <v>44470</v>
      </c>
      <c r="Y59" t="s">
        <v>207</v>
      </c>
      <c r="Z59">
        <v>128.44999999999999</v>
      </c>
      <c r="AA59">
        <v>16</v>
      </c>
      <c r="AB59">
        <v>20.55</v>
      </c>
      <c r="AC59">
        <v>14.9</v>
      </c>
      <c r="AD59">
        <v>163.9</v>
      </c>
      <c r="AE59">
        <v>2708.16</v>
      </c>
      <c r="AF59">
        <v>2727</v>
      </c>
      <c r="AG59" t="s">
        <v>279</v>
      </c>
      <c r="AH59" t="s">
        <v>65</v>
      </c>
      <c r="AI59" t="s">
        <v>65</v>
      </c>
      <c r="AJ59" t="s">
        <v>66</v>
      </c>
      <c r="AK59" t="s">
        <v>66</v>
      </c>
      <c r="AL59" t="s">
        <v>66</v>
      </c>
      <c r="AM59" s="2" t="str">
        <f>HYPERLINK("https://transparencia.cidesi.mx/comprobantes/2021/CQ2100923 /C5A78229.pdf")</f>
        <v>https://transparencia.cidesi.mx/comprobantes/2021/CQ2100923 /C5A78229.pdf</v>
      </c>
      <c r="AN59" t="str">
        <f>HYPERLINK("https://transparencia.cidesi.mx/comprobantes/2021/CQ2100923 /C5A78229.pdf")</f>
        <v>https://transparencia.cidesi.mx/comprobantes/2021/CQ2100923 /C5A78229.pdf</v>
      </c>
      <c r="AO59" t="str">
        <f>HYPERLINK("https://transparencia.cidesi.mx/comprobantes/2021/CQ2100923 /C5A78229.xml")</f>
        <v>https://transparencia.cidesi.mx/comprobantes/2021/CQ2100923 /C5A78229.xml</v>
      </c>
      <c r="AP59" t="s">
        <v>299</v>
      </c>
      <c r="AQ59" t="s">
        <v>300</v>
      </c>
      <c r="AR59" t="s">
        <v>257</v>
      </c>
      <c r="AS59" t="s">
        <v>301</v>
      </c>
      <c r="AT59" s="1">
        <v>44473</v>
      </c>
      <c r="AU59" t="s">
        <v>73</v>
      </c>
    </row>
    <row r="60" spans="1:47" x14ac:dyDescent="0.3">
      <c r="A60" t="s">
        <v>246</v>
      </c>
      <c r="B60" t="s">
        <v>182</v>
      </c>
      <c r="C60" t="s">
        <v>183</v>
      </c>
      <c r="D60">
        <v>241</v>
      </c>
      <c r="E60" t="s">
        <v>302</v>
      </c>
      <c r="F60" t="s">
        <v>303</v>
      </c>
      <c r="G60" t="s">
        <v>304</v>
      </c>
      <c r="H60" t="s">
        <v>305</v>
      </c>
      <c r="I60" t="s">
        <v>54</v>
      </c>
      <c r="J60" t="s">
        <v>306</v>
      </c>
      <c r="K60" t="s">
        <v>56</v>
      </c>
      <c r="L60">
        <v>0</v>
      </c>
      <c r="M60" t="s">
        <v>73</v>
      </c>
      <c r="N60">
        <v>0</v>
      </c>
      <c r="O60" t="s">
        <v>58</v>
      </c>
      <c r="P60" t="s">
        <v>59</v>
      </c>
      <c r="Q60" t="s">
        <v>216</v>
      </c>
      <c r="R60" t="s">
        <v>306</v>
      </c>
      <c r="S60" s="1">
        <v>44410</v>
      </c>
      <c r="T60" s="1">
        <v>44410</v>
      </c>
      <c r="U60">
        <v>37501</v>
      </c>
      <c r="V60" t="s">
        <v>61</v>
      </c>
      <c r="W60" t="s">
        <v>307</v>
      </c>
      <c r="X60" s="1">
        <v>44411</v>
      </c>
      <c r="Y60" t="s">
        <v>100</v>
      </c>
      <c r="Z60">
        <v>94.83</v>
      </c>
      <c r="AA60">
        <v>16</v>
      </c>
      <c r="AB60">
        <v>15.17</v>
      </c>
      <c r="AC60">
        <v>0</v>
      </c>
      <c r="AD60">
        <v>110</v>
      </c>
      <c r="AE60">
        <v>395</v>
      </c>
      <c r="AF60">
        <v>545</v>
      </c>
      <c r="AG60" t="s">
        <v>308</v>
      </c>
      <c r="AH60" t="s">
        <v>65</v>
      </c>
      <c r="AI60" t="s">
        <v>65</v>
      </c>
      <c r="AJ60" t="s">
        <v>66</v>
      </c>
      <c r="AK60" t="s">
        <v>66</v>
      </c>
      <c r="AL60" t="s">
        <v>66</v>
      </c>
      <c r="AM60" s="2" t="str">
        <f>HYPERLINK("https://transparencia.cidesi.mx/comprobantes/2021/CQ2100594 /C1ROCM620808M6AFF45372 $110.00.pdf")</f>
        <v>https://transparencia.cidesi.mx/comprobantes/2021/CQ2100594 /C1ROCM620808M6AFF45372 $110.00.pdf</v>
      </c>
      <c r="AN60" t="str">
        <f>HYPERLINK("https://transparencia.cidesi.mx/comprobantes/2021/CQ2100594 /C1ROCM620808M6AFF45372 $110.00.pdf")</f>
        <v>https://transparencia.cidesi.mx/comprobantes/2021/CQ2100594 /C1ROCM620808M6AFF45372 $110.00.pdf</v>
      </c>
      <c r="AO60" t="str">
        <f>HYPERLINK("https://transparencia.cidesi.mx/comprobantes/2021/CQ2100594 /C1ROCM620808M6AFF45372 $110.00.xml")</f>
        <v>https://transparencia.cidesi.mx/comprobantes/2021/CQ2100594 /C1ROCM620808M6AFF45372 $110.00.xml</v>
      </c>
      <c r="AP60" t="s">
        <v>309</v>
      </c>
      <c r="AQ60" t="s">
        <v>309</v>
      </c>
      <c r="AR60" t="s">
        <v>310</v>
      </c>
      <c r="AS60" t="s">
        <v>311</v>
      </c>
      <c r="AT60" s="1">
        <v>44412</v>
      </c>
      <c r="AU60" t="s">
        <v>73</v>
      </c>
    </row>
    <row r="61" spans="1:47" x14ac:dyDescent="0.3">
      <c r="A61" t="s">
        <v>246</v>
      </c>
      <c r="B61" t="s">
        <v>182</v>
      </c>
      <c r="C61" t="s">
        <v>183</v>
      </c>
      <c r="D61">
        <v>241</v>
      </c>
      <c r="E61" t="s">
        <v>302</v>
      </c>
      <c r="F61" t="s">
        <v>303</v>
      </c>
      <c r="G61" t="s">
        <v>304</v>
      </c>
      <c r="H61" t="s">
        <v>305</v>
      </c>
      <c r="I61" t="s">
        <v>54</v>
      </c>
      <c r="J61" t="s">
        <v>306</v>
      </c>
      <c r="K61" t="s">
        <v>56</v>
      </c>
      <c r="L61">
        <v>0</v>
      </c>
      <c r="M61" t="s">
        <v>73</v>
      </c>
      <c r="N61">
        <v>0</v>
      </c>
      <c r="O61" t="s">
        <v>58</v>
      </c>
      <c r="P61" t="s">
        <v>59</v>
      </c>
      <c r="Q61" t="s">
        <v>216</v>
      </c>
      <c r="R61" t="s">
        <v>306</v>
      </c>
      <c r="S61" s="1">
        <v>44410</v>
      </c>
      <c r="T61" s="1">
        <v>44410</v>
      </c>
      <c r="U61">
        <v>37501</v>
      </c>
      <c r="V61" t="s">
        <v>61</v>
      </c>
      <c r="W61" t="s">
        <v>307</v>
      </c>
      <c r="X61" s="1">
        <v>44411</v>
      </c>
      <c r="Y61" t="s">
        <v>100</v>
      </c>
      <c r="Z61">
        <v>211.21</v>
      </c>
      <c r="AA61">
        <v>16</v>
      </c>
      <c r="AB61">
        <v>33.79</v>
      </c>
      <c r="AC61">
        <v>40</v>
      </c>
      <c r="AD61">
        <v>285</v>
      </c>
      <c r="AE61">
        <v>395</v>
      </c>
      <c r="AF61">
        <v>545</v>
      </c>
      <c r="AG61" t="s">
        <v>308</v>
      </c>
      <c r="AH61" t="s">
        <v>65</v>
      </c>
      <c r="AI61" t="s">
        <v>65</v>
      </c>
      <c r="AJ61" t="s">
        <v>66</v>
      </c>
      <c r="AK61" t="s">
        <v>66</v>
      </c>
      <c r="AL61" t="s">
        <v>66</v>
      </c>
      <c r="AM61" s="2" t="str">
        <f>HYPERLINK("https://transparencia.cidesi.mx/comprobantes/2021/CQ2100594 /C2FB0000039757 $245.00.pdf")</f>
        <v>https://transparencia.cidesi.mx/comprobantes/2021/CQ2100594 /C2FB0000039757 $245.00.pdf</v>
      </c>
      <c r="AN61" t="str">
        <f>HYPERLINK("https://transparencia.cidesi.mx/comprobantes/2021/CQ2100594 /C2FB0000039757 $245.00.pdf")</f>
        <v>https://transparencia.cidesi.mx/comprobantes/2021/CQ2100594 /C2FB0000039757 $245.00.pdf</v>
      </c>
      <c r="AO61" t="str">
        <f>HYPERLINK("https://transparencia.cidesi.mx/comprobantes/2021/CQ2100594 /C2FB0000039757 (1).xml")</f>
        <v>https://transparencia.cidesi.mx/comprobantes/2021/CQ2100594 /C2FB0000039757 (1).xml</v>
      </c>
      <c r="AP61" t="s">
        <v>309</v>
      </c>
      <c r="AQ61" t="s">
        <v>309</v>
      </c>
      <c r="AR61" t="s">
        <v>310</v>
      </c>
      <c r="AS61" t="s">
        <v>311</v>
      </c>
      <c r="AT61" s="1">
        <v>44412</v>
      </c>
      <c r="AU61" t="s">
        <v>73</v>
      </c>
    </row>
    <row r="62" spans="1:47" x14ac:dyDescent="0.3">
      <c r="A62" t="s">
        <v>246</v>
      </c>
      <c r="B62" t="s">
        <v>182</v>
      </c>
      <c r="C62" t="s">
        <v>183</v>
      </c>
      <c r="D62">
        <v>241</v>
      </c>
      <c r="E62" t="s">
        <v>302</v>
      </c>
      <c r="F62" t="s">
        <v>303</v>
      </c>
      <c r="G62" t="s">
        <v>304</v>
      </c>
      <c r="H62" t="s">
        <v>312</v>
      </c>
      <c r="I62" t="s">
        <v>54</v>
      </c>
      <c r="J62" t="s">
        <v>313</v>
      </c>
      <c r="K62" t="s">
        <v>56</v>
      </c>
      <c r="L62">
        <v>0</v>
      </c>
      <c r="M62" t="s">
        <v>73</v>
      </c>
      <c r="N62">
        <v>0</v>
      </c>
      <c r="O62" t="s">
        <v>58</v>
      </c>
      <c r="P62" t="s">
        <v>59</v>
      </c>
      <c r="Q62" t="s">
        <v>314</v>
      </c>
      <c r="R62" t="s">
        <v>313</v>
      </c>
      <c r="S62" s="1">
        <v>44417</v>
      </c>
      <c r="T62" s="1">
        <v>44417</v>
      </c>
      <c r="U62">
        <v>37501</v>
      </c>
      <c r="V62" t="s">
        <v>61</v>
      </c>
      <c r="W62" t="s">
        <v>315</v>
      </c>
      <c r="X62" s="1">
        <v>44418</v>
      </c>
      <c r="Y62" t="s">
        <v>63</v>
      </c>
      <c r="Z62">
        <v>94.83</v>
      </c>
      <c r="AA62">
        <v>16</v>
      </c>
      <c r="AB62">
        <v>15.17</v>
      </c>
      <c r="AC62">
        <v>0</v>
      </c>
      <c r="AD62">
        <v>110</v>
      </c>
      <c r="AE62">
        <v>510</v>
      </c>
      <c r="AF62">
        <v>545</v>
      </c>
      <c r="AG62" t="s">
        <v>308</v>
      </c>
      <c r="AH62" t="s">
        <v>65</v>
      </c>
      <c r="AI62" t="s">
        <v>65</v>
      </c>
      <c r="AJ62" t="s">
        <v>66</v>
      </c>
      <c r="AK62" t="s">
        <v>66</v>
      </c>
      <c r="AL62" t="s">
        <v>66</v>
      </c>
      <c r="AM62" s="2" t="str">
        <f>HYPERLINK("https://transparencia.cidesi.mx/comprobantes/2021/CQ2100626 /C1ROCM620808M6AFF45737 (2).pdf")</f>
        <v>https://transparencia.cidesi.mx/comprobantes/2021/CQ2100626 /C1ROCM620808M6AFF45737 (2).pdf</v>
      </c>
      <c r="AN62" t="str">
        <f>HYPERLINK("https://transparencia.cidesi.mx/comprobantes/2021/CQ2100626 /C1ROCM620808M6AFF45737 (2).pdf")</f>
        <v>https://transparencia.cidesi.mx/comprobantes/2021/CQ2100626 /C1ROCM620808M6AFF45737 (2).pdf</v>
      </c>
      <c r="AO62" t="str">
        <f>HYPERLINK("https://transparencia.cidesi.mx/comprobantes/2021/CQ2100626 /C1ROCM620808M6AFF45737$110.00.xml")</f>
        <v>https://transparencia.cidesi.mx/comprobantes/2021/CQ2100626 /C1ROCM620808M6AFF45737$110.00.xml</v>
      </c>
      <c r="AP62" t="s">
        <v>313</v>
      </c>
      <c r="AQ62" t="s">
        <v>313</v>
      </c>
      <c r="AR62" t="s">
        <v>316</v>
      </c>
      <c r="AS62" t="s">
        <v>311</v>
      </c>
      <c r="AT62" s="1">
        <v>44418</v>
      </c>
      <c r="AU62" s="1">
        <v>44424</v>
      </c>
    </row>
    <row r="63" spans="1:47" x14ac:dyDescent="0.3">
      <c r="A63" t="s">
        <v>246</v>
      </c>
      <c r="B63" t="s">
        <v>182</v>
      </c>
      <c r="C63" t="s">
        <v>183</v>
      </c>
      <c r="D63">
        <v>241</v>
      </c>
      <c r="E63" t="s">
        <v>302</v>
      </c>
      <c r="F63" t="s">
        <v>303</v>
      </c>
      <c r="G63" t="s">
        <v>304</v>
      </c>
      <c r="H63" t="s">
        <v>312</v>
      </c>
      <c r="I63" t="s">
        <v>54</v>
      </c>
      <c r="J63" t="s">
        <v>313</v>
      </c>
      <c r="K63" t="s">
        <v>56</v>
      </c>
      <c r="L63">
        <v>0</v>
      </c>
      <c r="M63" t="s">
        <v>73</v>
      </c>
      <c r="N63">
        <v>0</v>
      </c>
      <c r="O63" t="s">
        <v>58</v>
      </c>
      <c r="P63" t="s">
        <v>59</v>
      </c>
      <c r="Q63" t="s">
        <v>314</v>
      </c>
      <c r="R63" t="s">
        <v>313</v>
      </c>
      <c r="S63" s="1">
        <v>44417</v>
      </c>
      <c r="T63" s="1">
        <v>44417</v>
      </c>
      <c r="U63">
        <v>37501</v>
      </c>
      <c r="V63" t="s">
        <v>61</v>
      </c>
      <c r="W63" t="s">
        <v>315</v>
      </c>
      <c r="X63" s="1">
        <v>44418</v>
      </c>
      <c r="Y63" t="s">
        <v>63</v>
      </c>
      <c r="Z63">
        <v>301.72000000000003</v>
      </c>
      <c r="AA63">
        <v>16</v>
      </c>
      <c r="AB63">
        <v>48.28</v>
      </c>
      <c r="AC63">
        <v>50</v>
      </c>
      <c r="AD63">
        <v>400</v>
      </c>
      <c r="AE63">
        <v>510</v>
      </c>
      <c r="AF63">
        <v>545</v>
      </c>
      <c r="AG63" t="s">
        <v>308</v>
      </c>
      <c r="AH63" t="s">
        <v>65</v>
      </c>
      <c r="AI63" t="s">
        <v>65</v>
      </c>
      <c r="AJ63" t="s">
        <v>66</v>
      </c>
      <c r="AK63" t="s">
        <v>66</v>
      </c>
      <c r="AL63" t="s">
        <v>66</v>
      </c>
      <c r="AM63" s="2" t="str">
        <f>HYPERLINK("https://transparencia.cidesi.mx/comprobantes/2021/CQ2100626 /C2FB0000039829 (1)350.00.pdf")</f>
        <v>https://transparencia.cidesi.mx/comprobantes/2021/CQ2100626 /C2FB0000039829 (1)350.00.pdf</v>
      </c>
      <c r="AN63" t="str">
        <f>HYPERLINK("https://transparencia.cidesi.mx/comprobantes/2021/CQ2100626 /C2FB0000039829 (1)350.00.pdf")</f>
        <v>https://transparencia.cidesi.mx/comprobantes/2021/CQ2100626 /C2FB0000039829 (1)350.00.pdf</v>
      </c>
      <c r="AO63" t="str">
        <f>HYPERLINK("https://transparencia.cidesi.mx/comprobantes/2021/CQ2100626 /C2FB0000039829350.00.xml")</f>
        <v>https://transparencia.cidesi.mx/comprobantes/2021/CQ2100626 /C2FB0000039829350.00.xml</v>
      </c>
      <c r="AP63" t="s">
        <v>313</v>
      </c>
      <c r="AQ63" t="s">
        <v>313</v>
      </c>
      <c r="AR63" t="s">
        <v>316</v>
      </c>
      <c r="AS63" t="s">
        <v>311</v>
      </c>
      <c r="AT63" s="1">
        <v>44418</v>
      </c>
      <c r="AU63" s="1">
        <v>44424</v>
      </c>
    </row>
    <row r="64" spans="1:47" x14ac:dyDescent="0.3">
      <c r="A64" t="s">
        <v>246</v>
      </c>
      <c r="B64" t="s">
        <v>182</v>
      </c>
      <c r="C64" t="s">
        <v>183</v>
      </c>
      <c r="D64">
        <v>241</v>
      </c>
      <c r="E64" t="s">
        <v>302</v>
      </c>
      <c r="F64" t="s">
        <v>303</v>
      </c>
      <c r="G64" t="s">
        <v>304</v>
      </c>
      <c r="H64" t="s">
        <v>317</v>
      </c>
      <c r="I64" t="s">
        <v>54</v>
      </c>
      <c r="J64" t="s">
        <v>318</v>
      </c>
      <c r="K64" t="s">
        <v>56</v>
      </c>
      <c r="L64">
        <v>0</v>
      </c>
      <c r="M64" t="s">
        <v>73</v>
      </c>
      <c r="N64">
        <v>0</v>
      </c>
      <c r="O64" t="s">
        <v>58</v>
      </c>
      <c r="P64" t="s">
        <v>59</v>
      </c>
      <c r="Q64" t="s">
        <v>60</v>
      </c>
      <c r="R64" t="s">
        <v>318</v>
      </c>
      <c r="S64" s="1">
        <v>44432</v>
      </c>
      <c r="T64" s="1">
        <v>44432</v>
      </c>
      <c r="U64">
        <v>37501</v>
      </c>
      <c r="V64" t="s">
        <v>61</v>
      </c>
      <c r="W64" t="s">
        <v>319</v>
      </c>
      <c r="X64" s="1">
        <v>44433</v>
      </c>
      <c r="Y64" t="s">
        <v>63</v>
      </c>
      <c r="Z64">
        <v>116.38</v>
      </c>
      <c r="AA64">
        <v>16</v>
      </c>
      <c r="AB64">
        <v>18.62</v>
      </c>
      <c r="AC64">
        <v>31</v>
      </c>
      <c r="AD64">
        <v>166</v>
      </c>
      <c r="AE64">
        <v>533</v>
      </c>
      <c r="AF64">
        <v>545</v>
      </c>
      <c r="AG64" t="s">
        <v>308</v>
      </c>
      <c r="AH64" t="s">
        <v>65</v>
      </c>
      <c r="AI64" t="s">
        <v>65</v>
      </c>
      <c r="AJ64" t="s">
        <v>66</v>
      </c>
      <c r="AK64" t="s">
        <v>66</v>
      </c>
      <c r="AL64" t="s">
        <v>66</v>
      </c>
      <c r="AM64" s="2" t="str">
        <f>HYPERLINK("https://transparencia.cidesi.mx/comprobantes/2021/CQ2100689 /C1RORR791119M94_Factura__37877_E820D335-31E4-4638-A442-D033C6ADF0BC.pdf")</f>
        <v>https://transparencia.cidesi.mx/comprobantes/2021/CQ2100689 /C1RORR791119M94_Factura__37877_E820D335-31E4-4638-A442-D033C6ADF0BC.pdf</v>
      </c>
      <c r="AN64" t="str">
        <f>HYPERLINK("https://transparencia.cidesi.mx/comprobantes/2021/CQ2100689 /C1RORR791119M94_Factura__37877_E820D335-31E4-4638-A442-D033C6ADF0BC.pdf")</f>
        <v>https://transparencia.cidesi.mx/comprobantes/2021/CQ2100689 /C1RORR791119M94_Factura__37877_E820D335-31E4-4638-A442-D033C6ADF0BC.pdf</v>
      </c>
      <c r="AO64" t="str">
        <f>HYPERLINK("https://transparencia.cidesi.mx/comprobantes/2021/CQ2100689 /C1RORR791119M94_Factura__37877_E820D335-31E4-4638-A442-D033C6ADF0BC.xml")</f>
        <v>https://transparencia.cidesi.mx/comprobantes/2021/CQ2100689 /C1RORR791119M94_Factura__37877_E820D335-31E4-4638-A442-D033C6ADF0BC.xml</v>
      </c>
      <c r="AP64" t="s">
        <v>318</v>
      </c>
      <c r="AQ64" t="s">
        <v>320</v>
      </c>
      <c r="AR64" t="s">
        <v>321</v>
      </c>
      <c r="AS64" t="s">
        <v>322</v>
      </c>
      <c r="AT64" s="1">
        <v>44434</v>
      </c>
      <c r="AU64" s="1">
        <v>44438</v>
      </c>
    </row>
    <row r="65" spans="1:47" x14ac:dyDescent="0.3">
      <c r="A65" t="s">
        <v>246</v>
      </c>
      <c r="B65" t="s">
        <v>182</v>
      </c>
      <c r="C65" t="s">
        <v>183</v>
      </c>
      <c r="D65">
        <v>241</v>
      </c>
      <c r="E65" t="s">
        <v>302</v>
      </c>
      <c r="F65" t="s">
        <v>303</v>
      </c>
      <c r="G65" t="s">
        <v>304</v>
      </c>
      <c r="H65" t="s">
        <v>317</v>
      </c>
      <c r="I65" t="s">
        <v>54</v>
      </c>
      <c r="J65" t="s">
        <v>318</v>
      </c>
      <c r="K65" t="s">
        <v>56</v>
      </c>
      <c r="L65">
        <v>0</v>
      </c>
      <c r="M65" t="s">
        <v>73</v>
      </c>
      <c r="N65">
        <v>0</v>
      </c>
      <c r="O65" t="s">
        <v>58</v>
      </c>
      <c r="P65" t="s">
        <v>59</v>
      </c>
      <c r="Q65" t="s">
        <v>60</v>
      </c>
      <c r="R65" t="s">
        <v>318</v>
      </c>
      <c r="S65" s="1">
        <v>44432</v>
      </c>
      <c r="T65" s="1">
        <v>44432</v>
      </c>
      <c r="U65">
        <v>37501</v>
      </c>
      <c r="V65" t="s">
        <v>61</v>
      </c>
      <c r="W65" t="s">
        <v>319</v>
      </c>
      <c r="X65" s="1">
        <v>44433</v>
      </c>
      <c r="Y65" t="s">
        <v>63</v>
      </c>
      <c r="Z65">
        <v>316.38</v>
      </c>
      <c r="AA65">
        <v>16</v>
      </c>
      <c r="AB65">
        <v>50.62</v>
      </c>
      <c r="AC65">
        <v>0</v>
      </c>
      <c r="AD65">
        <v>367</v>
      </c>
      <c r="AE65">
        <v>533</v>
      </c>
      <c r="AF65">
        <v>545</v>
      </c>
      <c r="AG65" t="s">
        <v>308</v>
      </c>
      <c r="AH65" t="s">
        <v>65</v>
      </c>
      <c r="AI65" t="s">
        <v>65</v>
      </c>
      <c r="AJ65" t="s">
        <v>66</v>
      </c>
      <c r="AK65" t="s">
        <v>66</v>
      </c>
      <c r="AL65" t="s">
        <v>66</v>
      </c>
      <c r="AM65" s="2" t="str">
        <f>HYPERLINK("https://transparencia.cidesi.mx/comprobantes/2021/CQ2100689 /C2RORR791119M94_Factura__37862_CCEC7DAA-3843-48EC-9170-8CD27AD4F3AC.pdf")</f>
        <v>https://transparencia.cidesi.mx/comprobantes/2021/CQ2100689 /C2RORR791119M94_Factura__37862_CCEC7DAA-3843-48EC-9170-8CD27AD4F3AC.pdf</v>
      </c>
      <c r="AN65" t="str">
        <f>HYPERLINK("https://transparencia.cidesi.mx/comprobantes/2021/CQ2100689 /C2RORR791119M94_Factura__37862_CCEC7DAA-3843-48EC-9170-8CD27AD4F3AC.pdf")</f>
        <v>https://transparencia.cidesi.mx/comprobantes/2021/CQ2100689 /C2RORR791119M94_Factura__37862_CCEC7DAA-3843-48EC-9170-8CD27AD4F3AC.pdf</v>
      </c>
      <c r="AO65" t="str">
        <f>HYPERLINK("https://transparencia.cidesi.mx/comprobantes/2021/CQ2100689 /C2RORR791119M94_Factura__37862_CCEC7DAA-3843-48EC-9170-8CD27AD4F3AC.xml")</f>
        <v>https://transparencia.cidesi.mx/comprobantes/2021/CQ2100689 /C2RORR791119M94_Factura__37862_CCEC7DAA-3843-48EC-9170-8CD27AD4F3AC.xml</v>
      </c>
      <c r="AP65" t="s">
        <v>318</v>
      </c>
      <c r="AQ65" t="s">
        <v>320</v>
      </c>
      <c r="AR65" t="s">
        <v>321</v>
      </c>
      <c r="AS65" t="s">
        <v>322</v>
      </c>
      <c r="AT65" s="1">
        <v>44434</v>
      </c>
      <c r="AU65" s="1">
        <v>44438</v>
      </c>
    </row>
    <row r="66" spans="1:47" x14ac:dyDescent="0.3">
      <c r="A66" t="s">
        <v>246</v>
      </c>
      <c r="B66" t="s">
        <v>182</v>
      </c>
      <c r="C66" t="s">
        <v>183</v>
      </c>
      <c r="D66">
        <v>241</v>
      </c>
      <c r="E66" t="s">
        <v>302</v>
      </c>
      <c r="F66" t="s">
        <v>303</v>
      </c>
      <c r="G66" t="s">
        <v>304</v>
      </c>
      <c r="H66" t="s">
        <v>323</v>
      </c>
      <c r="I66" t="s">
        <v>54</v>
      </c>
      <c r="J66" t="s">
        <v>324</v>
      </c>
      <c r="K66" t="s">
        <v>56</v>
      </c>
      <c r="L66">
        <v>0</v>
      </c>
      <c r="M66" t="s">
        <v>73</v>
      </c>
      <c r="N66">
        <v>0</v>
      </c>
      <c r="O66" t="s">
        <v>58</v>
      </c>
      <c r="P66" t="s">
        <v>59</v>
      </c>
      <c r="Q66" t="s">
        <v>314</v>
      </c>
      <c r="R66" t="s">
        <v>324</v>
      </c>
      <c r="S66" s="1">
        <v>44441</v>
      </c>
      <c r="T66" s="1">
        <v>44441</v>
      </c>
      <c r="U66">
        <v>37501</v>
      </c>
      <c r="V66" t="s">
        <v>61</v>
      </c>
      <c r="W66" t="s">
        <v>325</v>
      </c>
      <c r="X66" s="1">
        <v>44442</v>
      </c>
      <c r="Y66" t="s">
        <v>63</v>
      </c>
      <c r="Z66">
        <v>294.83</v>
      </c>
      <c r="AA66">
        <v>16</v>
      </c>
      <c r="AB66">
        <v>47.17</v>
      </c>
      <c r="AC66">
        <v>50</v>
      </c>
      <c r="AD66">
        <v>392</v>
      </c>
      <c r="AE66">
        <v>502</v>
      </c>
      <c r="AF66">
        <v>545</v>
      </c>
      <c r="AG66" t="s">
        <v>308</v>
      </c>
      <c r="AH66" t="s">
        <v>65</v>
      </c>
      <c r="AI66" t="s">
        <v>65</v>
      </c>
      <c r="AJ66" t="s">
        <v>66</v>
      </c>
      <c r="AK66" t="s">
        <v>66</v>
      </c>
      <c r="AL66" t="s">
        <v>66</v>
      </c>
      <c r="AM66" s="2" t="str">
        <f>HYPERLINK("https://transparencia.cidesi.mx/comprobantes/2021/CQ2100730 /C1FB0000040039 (1)342.00.pdf")</f>
        <v>https://transparencia.cidesi.mx/comprobantes/2021/CQ2100730 /C1FB0000040039 (1)342.00.pdf</v>
      </c>
      <c r="AN66" t="str">
        <f>HYPERLINK("https://transparencia.cidesi.mx/comprobantes/2021/CQ2100730 /C1FB0000040039 (1)342.00.pdf")</f>
        <v>https://transparencia.cidesi.mx/comprobantes/2021/CQ2100730 /C1FB0000040039 (1)342.00.pdf</v>
      </c>
      <c r="AO66" t="str">
        <f>HYPERLINK("https://transparencia.cidesi.mx/comprobantes/2021/CQ2100730 /C1FB0000040039$342.00.xml")</f>
        <v>https://transparencia.cidesi.mx/comprobantes/2021/CQ2100730 /C1FB0000040039$342.00.xml</v>
      </c>
      <c r="AP66" t="s">
        <v>324</v>
      </c>
      <c r="AQ66" t="s">
        <v>324</v>
      </c>
      <c r="AR66" t="s">
        <v>326</v>
      </c>
      <c r="AS66" t="s">
        <v>327</v>
      </c>
      <c r="AT66" s="1">
        <v>44448</v>
      </c>
      <c r="AU66" s="1">
        <v>44452</v>
      </c>
    </row>
    <row r="67" spans="1:47" x14ac:dyDescent="0.3">
      <c r="A67" t="s">
        <v>246</v>
      </c>
      <c r="B67" t="s">
        <v>182</v>
      </c>
      <c r="C67" t="s">
        <v>183</v>
      </c>
      <c r="D67">
        <v>241</v>
      </c>
      <c r="E67" t="s">
        <v>302</v>
      </c>
      <c r="F67" t="s">
        <v>303</v>
      </c>
      <c r="G67" t="s">
        <v>304</v>
      </c>
      <c r="H67" t="s">
        <v>323</v>
      </c>
      <c r="I67" t="s">
        <v>54</v>
      </c>
      <c r="J67" t="s">
        <v>324</v>
      </c>
      <c r="K67" t="s">
        <v>56</v>
      </c>
      <c r="L67">
        <v>0</v>
      </c>
      <c r="M67" t="s">
        <v>73</v>
      </c>
      <c r="N67">
        <v>0</v>
      </c>
      <c r="O67" t="s">
        <v>58</v>
      </c>
      <c r="P67" t="s">
        <v>59</v>
      </c>
      <c r="Q67" t="s">
        <v>314</v>
      </c>
      <c r="R67" t="s">
        <v>324</v>
      </c>
      <c r="S67" s="1">
        <v>44441</v>
      </c>
      <c r="T67" s="1">
        <v>44441</v>
      </c>
      <c r="U67">
        <v>37501</v>
      </c>
      <c r="V67" t="s">
        <v>61</v>
      </c>
      <c r="W67" t="s">
        <v>325</v>
      </c>
      <c r="X67" s="1">
        <v>44442</v>
      </c>
      <c r="Y67" t="s">
        <v>63</v>
      </c>
      <c r="Z67">
        <v>94.83</v>
      </c>
      <c r="AA67">
        <v>16</v>
      </c>
      <c r="AB67">
        <v>15.17</v>
      </c>
      <c r="AC67">
        <v>0</v>
      </c>
      <c r="AD67">
        <v>110</v>
      </c>
      <c r="AE67">
        <v>502</v>
      </c>
      <c r="AF67">
        <v>545</v>
      </c>
      <c r="AG67" t="s">
        <v>308</v>
      </c>
      <c r="AH67" t="s">
        <v>65</v>
      </c>
      <c r="AI67" t="s">
        <v>65</v>
      </c>
      <c r="AJ67" t="s">
        <v>66</v>
      </c>
      <c r="AK67" t="s">
        <v>66</v>
      </c>
      <c r="AL67" t="s">
        <v>66</v>
      </c>
      <c r="AM67" s="2" t="str">
        <f>HYPERLINK("https://transparencia.cidesi.mx/comprobantes/2021/CQ2100730 /C2ROCM620808M6AFF47133 (3)110.00 león.pdf")</f>
        <v>https://transparencia.cidesi.mx/comprobantes/2021/CQ2100730 /C2ROCM620808M6AFF47133 (3)110.00 león.pdf</v>
      </c>
      <c r="AN67" t="str">
        <f>HYPERLINK("https://transparencia.cidesi.mx/comprobantes/2021/CQ2100730 /C2ROCM620808M6AFF47133 (3)110.00 león.pdf")</f>
        <v>https://transparencia.cidesi.mx/comprobantes/2021/CQ2100730 /C2ROCM620808M6AFF47133 (3)110.00 león.pdf</v>
      </c>
      <c r="AO67" t="str">
        <f>HYPERLINK("https://transparencia.cidesi.mx/comprobantes/2021/CQ2100730 /C2ROCM620808M6AFF47133$110 león.xml")</f>
        <v>https://transparencia.cidesi.mx/comprobantes/2021/CQ2100730 /C2ROCM620808M6AFF47133$110 león.xml</v>
      </c>
      <c r="AP67" t="s">
        <v>324</v>
      </c>
      <c r="AQ67" t="s">
        <v>324</v>
      </c>
      <c r="AR67" t="s">
        <v>326</v>
      </c>
      <c r="AS67" t="s">
        <v>327</v>
      </c>
      <c r="AT67" s="1">
        <v>44448</v>
      </c>
      <c r="AU67" s="1">
        <v>44452</v>
      </c>
    </row>
    <row r="68" spans="1:47" x14ac:dyDescent="0.3">
      <c r="A68" t="s">
        <v>246</v>
      </c>
      <c r="B68" t="s">
        <v>182</v>
      </c>
      <c r="C68" t="s">
        <v>183</v>
      </c>
      <c r="D68">
        <v>241</v>
      </c>
      <c r="E68" t="s">
        <v>302</v>
      </c>
      <c r="F68" t="s">
        <v>303</v>
      </c>
      <c r="G68" t="s">
        <v>304</v>
      </c>
      <c r="H68" t="s">
        <v>328</v>
      </c>
      <c r="I68" t="s">
        <v>54</v>
      </c>
      <c r="J68" t="s">
        <v>329</v>
      </c>
      <c r="K68" t="s">
        <v>56</v>
      </c>
      <c r="L68">
        <v>0</v>
      </c>
      <c r="M68" t="s">
        <v>73</v>
      </c>
      <c r="N68">
        <v>0</v>
      </c>
      <c r="O68" t="s">
        <v>58</v>
      </c>
      <c r="P68" t="s">
        <v>59</v>
      </c>
      <c r="Q68" t="s">
        <v>330</v>
      </c>
      <c r="R68" t="s">
        <v>329</v>
      </c>
      <c r="S68" s="1">
        <v>44445</v>
      </c>
      <c r="T68" s="1">
        <v>44447</v>
      </c>
      <c r="U68">
        <v>37501</v>
      </c>
      <c r="V68" t="s">
        <v>61</v>
      </c>
      <c r="W68" t="s">
        <v>331</v>
      </c>
      <c r="X68" s="1">
        <v>44452</v>
      </c>
      <c r="Y68" t="s">
        <v>63</v>
      </c>
      <c r="Z68">
        <v>130.76</v>
      </c>
      <c r="AA68">
        <v>16</v>
      </c>
      <c r="AB68">
        <v>5.24</v>
      </c>
      <c r="AC68">
        <v>0</v>
      </c>
      <c r="AD68">
        <v>136</v>
      </c>
      <c r="AE68">
        <v>1556.49</v>
      </c>
      <c r="AF68">
        <v>2727</v>
      </c>
      <c r="AG68" t="s">
        <v>308</v>
      </c>
      <c r="AH68" t="s">
        <v>65</v>
      </c>
      <c r="AI68" t="s">
        <v>65</v>
      </c>
      <c r="AJ68" t="s">
        <v>66</v>
      </c>
      <c r="AK68" t="s">
        <v>66</v>
      </c>
      <c r="AL68" t="s">
        <v>66</v>
      </c>
      <c r="AM68" s="2" t="str">
        <f>HYPERLINK("https://transparencia.cidesi.mx/comprobantes/2021/CQ2100800 /C1FACTURA_1631199936505_344245731 136.00.pdf")</f>
        <v>https://transparencia.cidesi.mx/comprobantes/2021/CQ2100800 /C1FACTURA_1631199936505_344245731 136.00.pdf</v>
      </c>
      <c r="AN68" t="str">
        <f>HYPERLINK("https://transparencia.cidesi.mx/comprobantes/2021/CQ2100800 /C1FACTURA_1631199936505_344245731 136.00.pdf")</f>
        <v>https://transparencia.cidesi.mx/comprobantes/2021/CQ2100800 /C1FACTURA_1631199936505_344245731 136.00.pdf</v>
      </c>
      <c r="AO68" t="str">
        <f>HYPERLINK("https://transparencia.cidesi.mx/comprobantes/2021/CQ2100800 /C1FACTURA_1631199936505_344245731 136.00.xml")</f>
        <v>https://transparencia.cidesi.mx/comprobantes/2021/CQ2100800 /C1FACTURA_1631199936505_344245731 136.00.xml</v>
      </c>
      <c r="AP68" t="s">
        <v>329</v>
      </c>
      <c r="AQ68" t="s">
        <v>329</v>
      </c>
      <c r="AR68" t="s">
        <v>332</v>
      </c>
      <c r="AS68" t="s">
        <v>311</v>
      </c>
      <c r="AT68" s="1">
        <v>44452</v>
      </c>
      <c r="AU68" s="1">
        <v>44452</v>
      </c>
    </row>
    <row r="69" spans="1:47" x14ac:dyDescent="0.3">
      <c r="A69" t="s">
        <v>246</v>
      </c>
      <c r="B69" t="s">
        <v>182</v>
      </c>
      <c r="C69" t="s">
        <v>183</v>
      </c>
      <c r="D69">
        <v>241</v>
      </c>
      <c r="E69" t="s">
        <v>302</v>
      </c>
      <c r="F69" t="s">
        <v>303</v>
      </c>
      <c r="G69" t="s">
        <v>304</v>
      </c>
      <c r="H69" t="s">
        <v>328</v>
      </c>
      <c r="I69" t="s">
        <v>54</v>
      </c>
      <c r="J69" t="s">
        <v>329</v>
      </c>
      <c r="K69" t="s">
        <v>56</v>
      </c>
      <c r="L69">
        <v>0</v>
      </c>
      <c r="M69" t="s">
        <v>73</v>
      </c>
      <c r="N69">
        <v>0</v>
      </c>
      <c r="O69" t="s">
        <v>58</v>
      </c>
      <c r="P69" t="s">
        <v>59</v>
      </c>
      <c r="Q69" t="s">
        <v>330</v>
      </c>
      <c r="R69" t="s">
        <v>329</v>
      </c>
      <c r="S69" s="1">
        <v>44445</v>
      </c>
      <c r="T69" s="1">
        <v>44447</v>
      </c>
      <c r="U69">
        <v>37501</v>
      </c>
      <c r="V69" t="s">
        <v>61</v>
      </c>
      <c r="W69" t="s">
        <v>331</v>
      </c>
      <c r="X69" s="1">
        <v>44452</v>
      </c>
      <c r="Y69" t="s">
        <v>63</v>
      </c>
      <c r="Z69">
        <v>81.459999999999994</v>
      </c>
      <c r="AA69">
        <v>16</v>
      </c>
      <c r="AB69">
        <v>3.04</v>
      </c>
      <c r="AC69">
        <v>0</v>
      </c>
      <c r="AD69">
        <v>84.5</v>
      </c>
      <c r="AE69">
        <v>1556.49</v>
      </c>
      <c r="AF69">
        <v>2727</v>
      </c>
      <c r="AG69" t="s">
        <v>308</v>
      </c>
      <c r="AH69" t="s">
        <v>65</v>
      </c>
      <c r="AI69" t="s">
        <v>65</v>
      </c>
      <c r="AJ69" t="s">
        <v>66</v>
      </c>
      <c r="AK69" t="s">
        <v>66</v>
      </c>
      <c r="AL69" t="s">
        <v>66</v>
      </c>
      <c r="AM69" s="2" t="str">
        <f>HYPERLINK("https://transparencia.cidesi.mx/comprobantes/2021/CQ2100800 /C2FACTURA_1631199566204_34424479184.50.pdf")</f>
        <v>https://transparencia.cidesi.mx/comprobantes/2021/CQ2100800 /C2FACTURA_1631199566204_34424479184.50.pdf</v>
      </c>
      <c r="AN69" t="str">
        <f>HYPERLINK("https://transparencia.cidesi.mx/comprobantes/2021/CQ2100800 /C2FACTURA_1631199566204_34424479184.50.pdf")</f>
        <v>https://transparencia.cidesi.mx/comprobantes/2021/CQ2100800 /C2FACTURA_1631199566204_34424479184.50.pdf</v>
      </c>
      <c r="AO69" t="str">
        <f>HYPERLINK("https://transparencia.cidesi.mx/comprobantes/2021/CQ2100800 /C2FACTURA_1631199566204_344244791 84.50.xml")</f>
        <v>https://transparencia.cidesi.mx/comprobantes/2021/CQ2100800 /C2FACTURA_1631199566204_344244791 84.50.xml</v>
      </c>
      <c r="AP69" t="s">
        <v>329</v>
      </c>
      <c r="AQ69" t="s">
        <v>329</v>
      </c>
      <c r="AR69" t="s">
        <v>332</v>
      </c>
      <c r="AS69" t="s">
        <v>311</v>
      </c>
      <c r="AT69" s="1">
        <v>44452</v>
      </c>
      <c r="AU69" s="1">
        <v>44452</v>
      </c>
    </row>
    <row r="70" spans="1:47" x14ac:dyDescent="0.3">
      <c r="A70" t="s">
        <v>246</v>
      </c>
      <c r="B70" t="s">
        <v>182</v>
      </c>
      <c r="C70" t="s">
        <v>183</v>
      </c>
      <c r="D70">
        <v>241</v>
      </c>
      <c r="E70" t="s">
        <v>302</v>
      </c>
      <c r="F70" t="s">
        <v>303</v>
      </c>
      <c r="G70" t="s">
        <v>304</v>
      </c>
      <c r="H70" t="s">
        <v>328</v>
      </c>
      <c r="I70" t="s">
        <v>54</v>
      </c>
      <c r="J70" t="s">
        <v>329</v>
      </c>
      <c r="K70" t="s">
        <v>56</v>
      </c>
      <c r="L70">
        <v>0</v>
      </c>
      <c r="M70" t="s">
        <v>73</v>
      </c>
      <c r="N70">
        <v>0</v>
      </c>
      <c r="O70" t="s">
        <v>58</v>
      </c>
      <c r="P70" t="s">
        <v>59</v>
      </c>
      <c r="Q70" t="s">
        <v>330</v>
      </c>
      <c r="R70" t="s">
        <v>329</v>
      </c>
      <c r="S70" s="1">
        <v>44445</v>
      </c>
      <c r="T70" s="1">
        <v>44447</v>
      </c>
      <c r="U70">
        <v>37501</v>
      </c>
      <c r="V70" t="s">
        <v>61</v>
      </c>
      <c r="W70" t="s">
        <v>331</v>
      </c>
      <c r="X70" s="1">
        <v>44452</v>
      </c>
      <c r="Y70" t="s">
        <v>63</v>
      </c>
      <c r="Z70">
        <v>74.14</v>
      </c>
      <c r="AA70">
        <v>16</v>
      </c>
      <c r="AB70">
        <v>11.86</v>
      </c>
      <c r="AC70">
        <v>0</v>
      </c>
      <c r="AD70">
        <v>86</v>
      </c>
      <c r="AE70">
        <v>1556.49</v>
      </c>
      <c r="AF70">
        <v>2727</v>
      </c>
      <c r="AG70" t="s">
        <v>308</v>
      </c>
      <c r="AH70" t="s">
        <v>65</v>
      </c>
      <c r="AI70" t="s">
        <v>65</v>
      </c>
      <c r="AJ70" t="s">
        <v>66</v>
      </c>
      <c r="AK70" t="s">
        <v>66</v>
      </c>
      <c r="AL70" t="s">
        <v>66</v>
      </c>
      <c r="AM70" s="2" t="str">
        <f>HYPERLINK("https://transparencia.cidesi.mx/comprobantes/2021/CQ2100800 /C3FA-FAC068773-QURJ780714T49 86.00.pdf")</f>
        <v>https://transparencia.cidesi.mx/comprobantes/2021/CQ2100800 /C3FA-FAC068773-QURJ780714T49 86.00.pdf</v>
      </c>
      <c r="AN70" t="str">
        <f>HYPERLINK("https://transparencia.cidesi.mx/comprobantes/2021/CQ2100800 /C3FA-FAC068773-QURJ780714T49 86.00.pdf")</f>
        <v>https://transparencia.cidesi.mx/comprobantes/2021/CQ2100800 /C3FA-FAC068773-QURJ780714T49 86.00.pdf</v>
      </c>
      <c r="AO70" t="str">
        <f>HYPERLINK("https://transparencia.cidesi.mx/comprobantes/2021/CQ2100800 /C3FA-FAC068773-QURJ780714T49 86.00.xml")</f>
        <v>https://transparencia.cidesi.mx/comprobantes/2021/CQ2100800 /C3FA-FAC068773-QURJ780714T49 86.00.xml</v>
      </c>
      <c r="AP70" t="s">
        <v>329</v>
      </c>
      <c r="AQ70" t="s">
        <v>329</v>
      </c>
      <c r="AR70" t="s">
        <v>332</v>
      </c>
      <c r="AS70" t="s">
        <v>311</v>
      </c>
      <c r="AT70" s="1">
        <v>44452</v>
      </c>
      <c r="AU70" s="1">
        <v>44452</v>
      </c>
    </row>
    <row r="71" spans="1:47" x14ac:dyDescent="0.3">
      <c r="A71" t="s">
        <v>246</v>
      </c>
      <c r="B71" t="s">
        <v>182</v>
      </c>
      <c r="C71" t="s">
        <v>183</v>
      </c>
      <c r="D71">
        <v>241</v>
      </c>
      <c r="E71" t="s">
        <v>302</v>
      </c>
      <c r="F71" t="s">
        <v>303</v>
      </c>
      <c r="G71" t="s">
        <v>304</v>
      </c>
      <c r="H71" t="s">
        <v>328</v>
      </c>
      <c r="I71" t="s">
        <v>54</v>
      </c>
      <c r="J71" t="s">
        <v>329</v>
      </c>
      <c r="K71" t="s">
        <v>56</v>
      </c>
      <c r="L71">
        <v>0</v>
      </c>
      <c r="M71" t="s">
        <v>73</v>
      </c>
      <c r="N71">
        <v>0</v>
      </c>
      <c r="O71" t="s">
        <v>58</v>
      </c>
      <c r="P71" t="s">
        <v>59</v>
      </c>
      <c r="Q71" t="s">
        <v>330</v>
      </c>
      <c r="R71" t="s">
        <v>329</v>
      </c>
      <c r="S71" s="1">
        <v>44445</v>
      </c>
      <c r="T71" s="1">
        <v>44447</v>
      </c>
      <c r="U71">
        <v>37501</v>
      </c>
      <c r="V71" t="s">
        <v>61</v>
      </c>
      <c r="W71" t="s">
        <v>331</v>
      </c>
      <c r="X71" s="1">
        <v>44452</v>
      </c>
      <c r="Y71" t="s">
        <v>63</v>
      </c>
      <c r="Z71">
        <v>245.69</v>
      </c>
      <c r="AA71">
        <v>16</v>
      </c>
      <c r="AB71">
        <v>39.31</v>
      </c>
      <c r="AC71">
        <v>0</v>
      </c>
      <c r="AD71">
        <v>285</v>
      </c>
      <c r="AE71">
        <v>1556.49</v>
      </c>
      <c r="AF71">
        <v>2727</v>
      </c>
      <c r="AG71" t="s">
        <v>308</v>
      </c>
      <c r="AH71" t="s">
        <v>65</v>
      </c>
      <c r="AI71" t="s">
        <v>65</v>
      </c>
      <c r="AJ71" t="s">
        <v>66</v>
      </c>
      <c r="AK71" t="s">
        <v>66</v>
      </c>
      <c r="AL71" t="s">
        <v>66</v>
      </c>
      <c r="AM71" s="2" t="str">
        <f>HYPERLINK("https://transparencia.cidesi.mx/comprobantes/2021/CQ2100800 /C4FA-FAC068658-QURJ780714T49 285.00.pdf")</f>
        <v>https://transparencia.cidesi.mx/comprobantes/2021/CQ2100800 /C4FA-FAC068658-QURJ780714T49 285.00.pdf</v>
      </c>
      <c r="AN71" t="str">
        <f>HYPERLINK("https://transparencia.cidesi.mx/comprobantes/2021/CQ2100800 /C4FA-FAC068658-QURJ780714T49 285.00.pdf")</f>
        <v>https://transparencia.cidesi.mx/comprobantes/2021/CQ2100800 /C4FA-FAC068658-QURJ780714T49 285.00.pdf</v>
      </c>
      <c r="AO71" t="str">
        <f>HYPERLINK("https://transparencia.cidesi.mx/comprobantes/2021/CQ2100800 /C4FA-FAC068658-QURJ780714T49 285.00.xml")</f>
        <v>https://transparencia.cidesi.mx/comprobantes/2021/CQ2100800 /C4FA-FAC068658-QURJ780714T49 285.00.xml</v>
      </c>
      <c r="AP71" t="s">
        <v>329</v>
      </c>
      <c r="AQ71" t="s">
        <v>329</v>
      </c>
      <c r="AR71" t="s">
        <v>332</v>
      </c>
      <c r="AS71" t="s">
        <v>311</v>
      </c>
      <c r="AT71" s="1">
        <v>44452</v>
      </c>
      <c r="AU71" s="1">
        <v>44452</v>
      </c>
    </row>
    <row r="72" spans="1:47" x14ac:dyDescent="0.3">
      <c r="A72" t="s">
        <v>246</v>
      </c>
      <c r="B72" t="s">
        <v>182</v>
      </c>
      <c r="C72" t="s">
        <v>183</v>
      </c>
      <c r="D72">
        <v>241</v>
      </c>
      <c r="E72" t="s">
        <v>302</v>
      </c>
      <c r="F72" t="s">
        <v>303</v>
      </c>
      <c r="G72" t="s">
        <v>304</v>
      </c>
      <c r="H72" t="s">
        <v>328</v>
      </c>
      <c r="I72" t="s">
        <v>54</v>
      </c>
      <c r="J72" t="s">
        <v>329</v>
      </c>
      <c r="K72" t="s">
        <v>56</v>
      </c>
      <c r="L72">
        <v>0</v>
      </c>
      <c r="M72" t="s">
        <v>73</v>
      </c>
      <c r="N72">
        <v>0</v>
      </c>
      <c r="O72" t="s">
        <v>58</v>
      </c>
      <c r="P72" t="s">
        <v>59</v>
      </c>
      <c r="Q72" t="s">
        <v>330</v>
      </c>
      <c r="R72" t="s">
        <v>329</v>
      </c>
      <c r="S72" s="1">
        <v>44445</v>
      </c>
      <c r="T72" s="1">
        <v>44447</v>
      </c>
      <c r="U72">
        <v>37501</v>
      </c>
      <c r="V72" t="s">
        <v>61</v>
      </c>
      <c r="W72" t="s">
        <v>331</v>
      </c>
      <c r="X72" s="1">
        <v>44452</v>
      </c>
      <c r="Y72" t="s">
        <v>63</v>
      </c>
      <c r="Z72">
        <v>275.86</v>
      </c>
      <c r="AA72">
        <v>16</v>
      </c>
      <c r="AB72">
        <v>44.14</v>
      </c>
      <c r="AC72">
        <v>0</v>
      </c>
      <c r="AD72">
        <v>320</v>
      </c>
      <c r="AE72">
        <v>1556.49</v>
      </c>
      <c r="AF72">
        <v>2727</v>
      </c>
      <c r="AG72" t="s">
        <v>308</v>
      </c>
      <c r="AH72" t="s">
        <v>65</v>
      </c>
      <c r="AI72" t="s">
        <v>65</v>
      </c>
      <c r="AJ72" t="s">
        <v>66</v>
      </c>
      <c r="AK72" t="s">
        <v>66</v>
      </c>
      <c r="AL72" t="s">
        <v>66</v>
      </c>
      <c r="AM72" s="2" t="str">
        <f>HYPERLINK("https://transparencia.cidesi.mx/comprobantes/2021/CQ2100800 /C5FA0000019833 320.00.pdf")</f>
        <v>https://transparencia.cidesi.mx/comprobantes/2021/CQ2100800 /C5FA0000019833 320.00.pdf</v>
      </c>
      <c r="AN72" t="str">
        <f>HYPERLINK("https://transparencia.cidesi.mx/comprobantes/2021/CQ2100800 /C5FA0000019833 320.00.pdf")</f>
        <v>https://transparencia.cidesi.mx/comprobantes/2021/CQ2100800 /C5FA0000019833 320.00.pdf</v>
      </c>
      <c r="AO72" t="str">
        <f>HYPERLINK("https://transparencia.cidesi.mx/comprobantes/2021/CQ2100800 /C5FA0000019833 320.00.xml")</f>
        <v>https://transparencia.cidesi.mx/comprobantes/2021/CQ2100800 /C5FA0000019833 320.00.xml</v>
      </c>
      <c r="AP72" t="s">
        <v>329</v>
      </c>
      <c r="AQ72" t="s">
        <v>329</v>
      </c>
      <c r="AR72" t="s">
        <v>332</v>
      </c>
      <c r="AS72" t="s">
        <v>311</v>
      </c>
      <c r="AT72" s="1">
        <v>44452</v>
      </c>
      <c r="AU72" s="1">
        <v>44452</v>
      </c>
    </row>
    <row r="73" spans="1:47" x14ac:dyDescent="0.3">
      <c r="A73" t="s">
        <v>246</v>
      </c>
      <c r="B73" t="s">
        <v>182</v>
      </c>
      <c r="C73" t="s">
        <v>183</v>
      </c>
      <c r="D73">
        <v>241</v>
      </c>
      <c r="E73" t="s">
        <v>302</v>
      </c>
      <c r="F73" t="s">
        <v>303</v>
      </c>
      <c r="G73" t="s">
        <v>304</v>
      </c>
      <c r="H73" t="s">
        <v>328</v>
      </c>
      <c r="I73" t="s">
        <v>54</v>
      </c>
      <c r="J73" t="s">
        <v>329</v>
      </c>
      <c r="K73" t="s">
        <v>56</v>
      </c>
      <c r="L73">
        <v>0</v>
      </c>
      <c r="M73" t="s">
        <v>73</v>
      </c>
      <c r="N73">
        <v>0</v>
      </c>
      <c r="O73" t="s">
        <v>58</v>
      </c>
      <c r="P73" t="s">
        <v>59</v>
      </c>
      <c r="Q73" t="s">
        <v>330</v>
      </c>
      <c r="R73" t="s">
        <v>329</v>
      </c>
      <c r="S73" s="1">
        <v>44445</v>
      </c>
      <c r="T73" s="1">
        <v>44447</v>
      </c>
      <c r="U73">
        <v>37501</v>
      </c>
      <c r="V73" t="s">
        <v>61</v>
      </c>
      <c r="W73" t="s">
        <v>331</v>
      </c>
      <c r="X73" s="1">
        <v>44452</v>
      </c>
      <c r="Y73" t="s">
        <v>63</v>
      </c>
      <c r="Z73">
        <v>168.1</v>
      </c>
      <c r="AA73">
        <v>16</v>
      </c>
      <c r="AB73">
        <v>26.9</v>
      </c>
      <c r="AC73">
        <v>0</v>
      </c>
      <c r="AD73">
        <v>195</v>
      </c>
      <c r="AE73">
        <v>1556.49</v>
      </c>
      <c r="AF73">
        <v>2727</v>
      </c>
      <c r="AG73" t="s">
        <v>308</v>
      </c>
      <c r="AH73" t="s">
        <v>66</v>
      </c>
      <c r="AI73" t="s">
        <v>65</v>
      </c>
      <c r="AJ73" t="s">
        <v>66</v>
      </c>
      <c r="AK73" t="s">
        <v>66</v>
      </c>
      <c r="AL73" t="s">
        <v>66</v>
      </c>
      <c r="AM73" s="2" t="str">
        <f>HYPERLINK("https://transparencia.cidesi.mx/comprobantes/2021/CQ2100800 /C6FC0000098687 195.00.pdf")</f>
        <v>https://transparencia.cidesi.mx/comprobantes/2021/CQ2100800 /C6FC0000098687 195.00.pdf</v>
      </c>
      <c r="AN73" t="str">
        <f>HYPERLINK("https://transparencia.cidesi.mx/comprobantes/2021/CQ2100800 /C6FC0000098687 195.00.pdf")</f>
        <v>https://transparencia.cidesi.mx/comprobantes/2021/CQ2100800 /C6FC0000098687 195.00.pdf</v>
      </c>
      <c r="AO73" t="str">
        <f>HYPERLINK("https://transparencia.cidesi.mx/comprobantes/2021/CQ2100800 /C6FC0000098687195.00.xml")</f>
        <v>https://transparencia.cidesi.mx/comprobantes/2021/CQ2100800 /C6FC0000098687195.00.xml</v>
      </c>
      <c r="AP73" t="s">
        <v>329</v>
      </c>
      <c r="AQ73" t="s">
        <v>329</v>
      </c>
      <c r="AR73" t="s">
        <v>332</v>
      </c>
      <c r="AS73" t="s">
        <v>311</v>
      </c>
      <c r="AT73" s="1">
        <v>44452</v>
      </c>
      <c r="AU73" s="1">
        <v>44452</v>
      </c>
    </row>
    <row r="74" spans="1:47" x14ac:dyDescent="0.3">
      <c r="A74" t="s">
        <v>246</v>
      </c>
      <c r="B74" t="s">
        <v>182</v>
      </c>
      <c r="C74" t="s">
        <v>183</v>
      </c>
      <c r="D74">
        <v>241</v>
      </c>
      <c r="E74" t="s">
        <v>302</v>
      </c>
      <c r="F74" t="s">
        <v>303</v>
      </c>
      <c r="G74" t="s">
        <v>304</v>
      </c>
      <c r="H74" t="s">
        <v>328</v>
      </c>
      <c r="I74" t="s">
        <v>54</v>
      </c>
      <c r="J74" t="s">
        <v>329</v>
      </c>
      <c r="K74" t="s">
        <v>56</v>
      </c>
      <c r="L74">
        <v>0</v>
      </c>
      <c r="M74" t="s">
        <v>73</v>
      </c>
      <c r="N74">
        <v>0</v>
      </c>
      <c r="O74" t="s">
        <v>58</v>
      </c>
      <c r="P74" t="s">
        <v>59</v>
      </c>
      <c r="Q74" t="s">
        <v>330</v>
      </c>
      <c r="R74" t="s">
        <v>329</v>
      </c>
      <c r="S74" s="1">
        <v>44445</v>
      </c>
      <c r="T74" s="1">
        <v>44447</v>
      </c>
      <c r="U74">
        <v>37501</v>
      </c>
      <c r="V74" t="s">
        <v>61</v>
      </c>
      <c r="W74" t="s">
        <v>331</v>
      </c>
      <c r="X74" s="1">
        <v>44452</v>
      </c>
      <c r="Y74" t="s">
        <v>63</v>
      </c>
      <c r="Z74">
        <v>389.49</v>
      </c>
      <c r="AA74">
        <v>16</v>
      </c>
      <c r="AB74">
        <v>60.5</v>
      </c>
      <c r="AC74">
        <v>0</v>
      </c>
      <c r="AD74">
        <v>449.99</v>
      </c>
      <c r="AE74">
        <v>1556.49</v>
      </c>
      <c r="AF74">
        <v>2727</v>
      </c>
      <c r="AG74" t="s">
        <v>308</v>
      </c>
      <c r="AH74" t="s">
        <v>66</v>
      </c>
      <c r="AI74" t="s">
        <v>65</v>
      </c>
      <c r="AJ74" t="s">
        <v>66</v>
      </c>
      <c r="AK74" t="s">
        <v>66</v>
      </c>
      <c r="AL74" t="s">
        <v>66</v>
      </c>
      <c r="AM74" s="2" t="str">
        <f>HYPERLINK("https://transparencia.cidesi.mx/comprobantes/2021/CQ2100800 /C7BES040330MRA_F8828 499.99.pdf")</f>
        <v>https://transparencia.cidesi.mx/comprobantes/2021/CQ2100800 /C7BES040330MRA_F8828 499.99.pdf</v>
      </c>
      <c r="AN74" t="str">
        <f>HYPERLINK("https://transparencia.cidesi.mx/comprobantes/2021/CQ2100800 /C7BES040330MRA_F8828 499.99.pdf")</f>
        <v>https://transparencia.cidesi.mx/comprobantes/2021/CQ2100800 /C7BES040330MRA_F8828 499.99.pdf</v>
      </c>
      <c r="AO74" t="str">
        <f>HYPERLINK("https://transparencia.cidesi.mx/comprobantes/2021/CQ2100800 /C7BES040330MRA_F8828499.99.xml")</f>
        <v>https://transparencia.cidesi.mx/comprobantes/2021/CQ2100800 /C7BES040330MRA_F8828499.99.xml</v>
      </c>
      <c r="AP74" t="s">
        <v>329</v>
      </c>
      <c r="AQ74" t="s">
        <v>329</v>
      </c>
      <c r="AR74" t="s">
        <v>332</v>
      </c>
      <c r="AS74" t="s">
        <v>311</v>
      </c>
      <c r="AT74" s="1">
        <v>44452</v>
      </c>
      <c r="AU74" s="1">
        <v>44452</v>
      </c>
    </row>
    <row r="75" spans="1:47" x14ac:dyDescent="0.3">
      <c r="A75" t="s">
        <v>246</v>
      </c>
      <c r="B75" t="s">
        <v>182</v>
      </c>
      <c r="C75" t="s">
        <v>183</v>
      </c>
      <c r="D75">
        <v>241</v>
      </c>
      <c r="E75" t="s">
        <v>302</v>
      </c>
      <c r="F75" t="s">
        <v>303</v>
      </c>
      <c r="G75" t="s">
        <v>304</v>
      </c>
      <c r="H75" t="s">
        <v>333</v>
      </c>
      <c r="I75" t="s">
        <v>54</v>
      </c>
      <c r="J75" t="s">
        <v>334</v>
      </c>
      <c r="K75" t="s">
        <v>56</v>
      </c>
      <c r="L75">
        <v>0</v>
      </c>
      <c r="M75" t="s">
        <v>73</v>
      </c>
      <c r="N75">
        <v>0</v>
      </c>
      <c r="O75" t="s">
        <v>58</v>
      </c>
      <c r="P75" t="s">
        <v>59</v>
      </c>
      <c r="Q75" t="s">
        <v>60</v>
      </c>
      <c r="R75" t="s">
        <v>334</v>
      </c>
      <c r="S75" s="1">
        <v>44449</v>
      </c>
      <c r="T75" s="1">
        <v>44449</v>
      </c>
      <c r="U75">
        <v>37501</v>
      </c>
      <c r="V75" t="s">
        <v>61</v>
      </c>
      <c r="W75" t="s">
        <v>335</v>
      </c>
      <c r="X75" s="1">
        <v>44452</v>
      </c>
      <c r="Y75" t="s">
        <v>63</v>
      </c>
      <c r="Z75">
        <v>233.62</v>
      </c>
      <c r="AA75">
        <v>16</v>
      </c>
      <c r="AB75">
        <v>37.380000000000003</v>
      </c>
      <c r="AC75">
        <v>0</v>
      </c>
      <c r="AD75">
        <v>271</v>
      </c>
      <c r="AE75">
        <v>515</v>
      </c>
      <c r="AF75">
        <v>545</v>
      </c>
      <c r="AG75" t="s">
        <v>308</v>
      </c>
      <c r="AH75" t="s">
        <v>65</v>
      </c>
      <c r="AI75" t="s">
        <v>65</v>
      </c>
      <c r="AJ75" t="s">
        <v>66</v>
      </c>
      <c r="AK75" t="s">
        <v>66</v>
      </c>
      <c r="AL75" t="s">
        <v>66</v>
      </c>
      <c r="AM75" s="2" t="str">
        <f>HYPERLINK("https://transparencia.cidesi.mx/comprobantes/2021/CQ2100792 /C1$271.00 38289.pdf")</f>
        <v>https://transparencia.cidesi.mx/comprobantes/2021/CQ2100792 /C1$271.00 38289.pdf</v>
      </c>
      <c r="AN75" t="str">
        <f>HYPERLINK("https://transparencia.cidesi.mx/comprobantes/2021/CQ2100792 /C1$271.00 38289.pdf")</f>
        <v>https://transparencia.cidesi.mx/comprobantes/2021/CQ2100792 /C1$271.00 38289.pdf</v>
      </c>
      <c r="AO75" t="str">
        <f>HYPERLINK("https://transparencia.cidesi.mx/comprobantes/2021/CQ2100792 /C1$27.00 38289.xml")</f>
        <v>https://transparencia.cidesi.mx/comprobantes/2021/CQ2100792 /C1$27.00 38289.xml</v>
      </c>
      <c r="AP75" t="s">
        <v>334</v>
      </c>
      <c r="AQ75" t="s">
        <v>334</v>
      </c>
      <c r="AR75" t="s">
        <v>336</v>
      </c>
      <c r="AS75" t="s">
        <v>337</v>
      </c>
      <c r="AT75" s="1">
        <v>44452</v>
      </c>
      <c r="AU75" s="1">
        <v>44467</v>
      </c>
    </row>
    <row r="76" spans="1:47" x14ac:dyDescent="0.3">
      <c r="A76" t="s">
        <v>246</v>
      </c>
      <c r="B76" t="s">
        <v>182</v>
      </c>
      <c r="C76" t="s">
        <v>183</v>
      </c>
      <c r="D76">
        <v>241</v>
      </c>
      <c r="E76" t="s">
        <v>302</v>
      </c>
      <c r="F76" t="s">
        <v>303</v>
      </c>
      <c r="G76" t="s">
        <v>304</v>
      </c>
      <c r="H76" t="s">
        <v>333</v>
      </c>
      <c r="I76" t="s">
        <v>54</v>
      </c>
      <c r="J76" t="s">
        <v>334</v>
      </c>
      <c r="K76" t="s">
        <v>56</v>
      </c>
      <c r="L76">
        <v>0</v>
      </c>
      <c r="M76" t="s">
        <v>73</v>
      </c>
      <c r="N76">
        <v>0</v>
      </c>
      <c r="O76" t="s">
        <v>58</v>
      </c>
      <c r="P76" t="s">
        <v>59</v>
      </c>
      <c r="Q76" t="s">
        <v>60</v>
      </c>
      <c r="R76" t="s">
        <v>334</v>
      </c>
      <c r="S76" s="1">
        <v>44449</v>
      </c>
      <c r="T76" s="1">
        <v>44449</v>
      </c>
      <c r="U76">
        <v>37501</v>
      </c>
      <c r="V76" t="s">
        <v>61</v>
      </c>
      <c r="W76" t="s">
        <v>335</v>
      </c>
      <c r="X76" s="1">
        <v>44452</v>
      </c>
      <c r="Y76" t="s">
        <v>63</v>
      </c>
      <c r="Z76">
        <v>210.34</v>
      </c>
      <c r="AA76">
        <v>16</v>
      </c>
      <c r="AB76">
        <v>33.659999999999997</v>
      </c>
      <c r="AC76">
        <v>0</v>
      </c>
      <c r="AD76">
        <v>244</v>
      </c>
      <c r="AE76">
        <v>515</v>
      </c>
      <c r="AF76">
        <v>545</v>
      </c>
      <c r="AG76" t="s">
        <v>308</v>
      </c>
      <c r="AH76" t="s">
        <v>65</v>
      </c>
      <c r="AI76" t="s">
        <v>65</v>
      </c>
      <c r="AJ76" t="s">
        <v>66</v>
      </c>
      <c r="AK76" t="s">
        <v>66</v>
      </c>
      <c r="AL76" t="s">
        <v>66</v>
      </c>
      <c r="AM76" s="2" t="str">
        <f>HYPERLINK("https://transparencia.cidesi.mx/comprobantes/2021/CQ2100792 /C2$244.00 38279.pdf")</f>
        <v>https://transparencia.cidesi.mx/comprobantes/2021/CQ2100792 /C2$244.00 38279.pdf</v>
      </c>
      <c r="AN76" t="str">
        <f>HYPERLINK("https://transparencia.cidesi.mx/comprobantes/2021/CQ2100792 /C2$244.00 38279.pdf")</f>
        <v>https://transparencia.cidesi.mx/comprobantes/2021/CQ2100792 /C2$244.00 38279.pdf</v>
      </c>
      <c r="AO76" t="str">
        <f>HYPERLINK("https://transparencia.cidesi.mx/comprobantes/2021/CQ2100792 /C2$244.00 38279.xml")</f>
        <v>https://transparencia.cidesi.mx/comprobantes/2021/CQ2100792 /C2$244.00 38279.xml</v>
      </c>
      <c r="AP76" t="s">
        <v>334</v>
      </c>
      <c r="AQ76" t="s">
        <v>334</v>
      </c>
      <c r="AR76" t="s">
        <v>336</v>
      </c>
      <c r="AS76" t="s">
        <v>337</v>
      </c>
      <c r="AT76" s="1">
        <v>44452</v>
      </c>
      <c r="AU76" s="1">
        <v>44467</v>
      </c>
    </row>
    <row r="77" spans="1:47" x14ac:dyDescent="0.3">
      <c r="A77" t="s">
        <v>246</v>
      </c>
      <c r="B77" t="s">
        <v>48</v>
      </c>
      <c r="C77" t="s">
        <v>338</v>
      </c>
      <c r="D77">
        <v>330</v>
      </c>
      <c r="E77" t="s">
        <v>339</v>
      </c>
      <c r="F77" t="s">
        <v>340</v>
      </c>
      <c r="G77" t="s">
        <v>341</v>
      </c>
      <c r="H77" t="s">
        <v>342</v>
      </c>
      <c r="I77" t="s">
        <v>54</v>
      </c>
      <c r="J77" t="s">
        <v>343</v>
      </c>
      <c r="K77" t="s">
        <v>56</v>
      </c>
      <c r="L77">
        <v>0</v>
      </c>
      <c r="M77" t="s">
        <v>73</v>
      </c>
      <c r="N77">
        <v>0</v>
      </c>
      <c r="O77" t="s">
        <v>58</v>
      </c>
      <c r="P77" t="s">
        <v>59</v>
      </c>
      <c r="Q77" t="s">
        <v>216</v>
      </c>
      <c r="R77" t="s">
        <v>343</v>
      </c>
      <c r="S77" s="1">
        <v>44459</v>
      </c>
      <c r="T77" s="1">
        <v>44459</v>
      </c>
      <c r="U77">
        <v>37501</v>
      </c>
      <c r="V77" t="s">
        <v>61</v>
      </c>
      <c r="W77" t="s">
        <v>344</v>
      </c>
      <c r="X77" s="1">
        <v>44460</v>
      </c>
      <c r="Y77" t="s">
        <v>63</v>
      </c>
      <c r="Z77">
        <v>264.66000000000003</v>
      </c>
      <c r="AA77">
        <v>16</v>
      </c>
      <c r="AB77">
        <v>42.34</v>
      </c>
      <c r="AC77">
        <v>30.7</v>
      </c>
      <c r="AD77">
        <v>337.7</v>
      </c>
      <c r="AE77">
        <v>337.7</v>
      </c>
      <c r="AF77">
        <v>545</v>
      </c>
      <c r="AG77" t="s">
        <v>345</v>
      </c>
      <c r="AH77" t="s">
        <v>65</v>
      </c>
      <c r="AI77" t="s">
        <v>65</v>
      </c>
      <c r="AJ77" t="s">
        <v>66</v>
      </c>
      <c r="AK77" t="s">
        <v>66</v>
      </c>
      <c r="AL77" t="s">
        <v>66</v>
      </c>
      <c r="AM77" s="2" t="str">
        <f>HYPERLINK("https://transparencia.cidesi.mx/comprobantes/2021/CQ2100855 /C1CGTSI60794_NDG071019LH4.pdf")</f>
        <v>https://transparencia.cidesi.mx/comprobantes/2021/CQ2100855 /C1CGTSI60794_NDG071019LH4.pdf</v>
      </c>
      <c r="AN77" t="str">
        <f>HYPERLINK("https://transparencia.cidesi.mx/comprobantes/2021/CQ2100855 /C1CGTSI60794_NDG071019LH4.pdf")</f>
        <v>https://transparencia.cidesi.mx/comprobantes/2021/CQ2100855 /C1CGTSI60794_NDG071019LH4.pdf</v>
      </c>
      <c r="AO77" t="str">
        <f>HYPERLINK("https://transparencia.cidesi.mx/comprobantes/2021/CQ2100855 /C1CGTSI60794_NDG071019LH4.xml")</f>
        <v>https://transparencia.cidesi.mx/comprobantes/2021/CQ2100855 /C1CGTSI60794_NDG071019LH4.xml</v>
      </c>
      <c r="AP77" t="s">
        <v>346</v>
      </c>
      <c r="AQ77" t="s">
        <v>347</v>
      </c>
      <c r="AR77" t="s">
        <v>348</v>
      </c>
      <c r="AS77" t="s">
        <v>349</v>
      </c>
      <c r="AT77" s="1">
        <v>44463</v>
      </c>
      <c r="AU77" s="1">
        <v>44470</v>
      </c>
    </row>
    <row r="78" spans="1:47" x14ac:dyDescent="0.3">
      <c r="A78" t="s">
        <v>47</v>
      </c>
      <c r="B78" t="s">
        <v>48</v>
      </c>
      <c r="C78" t="s">
        <v>49</v>
      </c>
      <c r="D78">
        <v>377</v>
      </c>
      <c r="E78" t="s">
        <v>350</v>
      </c>
      <c r="F78" t="s">
        <v>351</v>
      </c>
      <c r="G78" t="s">
        <v>352</v>
      </c>
      <c r="H78" t="s">
        <v>353</v>
      </c>
      <c r="I78" t="s">
        <v>54</v>
      </c>
      <c r="J78" t="s">
        <v>354</v>
      </c>
      <c r="K78" t="s">
        <v>56</v>
      </c>
      <c r="L78">
        <v>0</v>
      </c>
      <c r="M78" t="s">
        <v>73</v>
      </c>
      <c r="N78">
        <v>0</v>
      </c>
      <c r="O78" t="s">
        <v>58</v>
      </c>
      <c r="P78" t="s">
        <v>59</v>
      </c>
      <c r="Q78" t="s">
        <v>355</v>
      </c>
      <c r="R78" t="s">
        <v>354</v>
      </c>
      <c r="S78" s="1">
        <v>44417</v>
      </c>
      <c r="T78" s="1">
        <v>44422</v>
      </c>
      <c r="U78">
        <v>37501</v>
      </c>
      <c r="V78" t="s">
        <v>61</v>
      </c>
      <c r="W78" t="s">
        <v>356</v>
      </c>
      <c r="X78" s="1">
        <v>44425</v>
      </c>
      <c r="Y78" t="s">
        <v>63</v>
      </c>
      <c r="Z78">
        <v>37.090000000000003</v>
      </c>
      <c r="AA78">
        <v>16</v>
      </c>
      <c r="AB78">
        <v>1.41</v>
      </c>
      <c r="AC78">
        <v>0</v>
      </c>
      <c r="AD78">
        <v>38.5</v>
      </c>
      <c r="AE78">
        <v>5237.74</v>
      </c>
      <c r="AF78">
        <v>6000</v>
      </c>
      <c r="AG78" t="s">
        <v>357</v>
      </c>
      <c r="AH78" t="s">
        <v>65</v>
      </c>
      <c r="AI78" t="s">
        <v>65</v>
      </c>
      <c r="AJ78" t="s">
        <v>66</v>
      </c>
      <c r="AK78" t="s">
        <v>66</v>
      </c>
      <c r="AL78" t="s">
        <v>66</v>
      </c>
      <c r="AM78" s="2" t="str">
        <f>HYPERLINK("https://transparencia.cidesi.mx/comprobantes/2021/CQ2100662 /C1invoice.pdf")</f>
        <v>https://transparencia.cidesi.mx/comprobantes/2021/CQ2100662 /C1invoice.pdf</v>
      </c>
      <c r="AN78" t="str">
        <f>HYPERLINK("https://transparencia.cidesi.mx/comprobantes/2021/CQ2100662 /C1invoice.pdf")</f>
        <v>https://transparencia.cidesi.mx/comprobantes/2021/CQ2100662 /C1invoice.pdf</v>
      </c>
      <c r="AO78" t="str">
        <f>HYPERLINK("https://transparencia.cidesi.mx/comprobantes/2021/CQ2100662 /C1invoice.xml")</f>
        <v>https://transparencia.cidesi.mx/comprobantes/2021/CQ2100662 /C1invoice.xml</v>
      </c>
      <c r="AP78" t="s">
        <v>358</v>
      </c>
      <c r="AQ78" t="s">
        <v>359</v>
      </c>
      <c r="AR78" t="s">
        <v>360</v>
      </c>
      <c r="AS78" t="s">
        <v>361</v>
      </c>
      <c r="AT78" s="1">
        <v>44428</v>
      </c>
      <c r="AU78" s="1">
        <v>44432</v>
      </c>
    </row>
    <row r="79" spans="1:47" x14ac:dyDescent="0.3">
      <c r="A79" t="s">
        <v>47</v>
      </c>
      <c r="B79" t="s">
        <v>48</v>
      </c>
      <c r="C79" t="s">
        <v>49</v>
      </c>
      <c r="D79">
        <v>377</v>
      </c>
      <c r="E79" t="s">
        <v>350</v>
      </c>
      <c r="F79" t="s">
        <v>351</v>
      </c>
      <c r="G79" t="s">
        <v>352</v>
      </c>
      <c r="H79" t="s">
        <v>353</v>
      </c>
      <c r="I79" t="s">
        <v>54</v>
      </c>
      <c r="J79" t="s">
        <v>354</v>
      </c>
      <c r="K79" t="s">
        <v>56</v>
      </c>
      <c r="L79">
        <v>0</v>
      </c>
      <c r="M79" t="s">
        <v>73</v>
      </c>
      <c r="N79">
        <v>0</v>
      </c>
      <c r="O79" t="s">
        <v>58</v>
      </c>
      <c r="P79" t="s">
        <v>59</v>
      </c>
      <c r="Q79" t="s">
        <v>355</v>
      </c>
      <c r="R79" t="s">
        <v>354</v>
      </c>
      <c r="S79" s="1">
        <v>44417</v>
      </c>
      <c r="T79" s="1">
        <v>44422</v>
      </c>
      <c r="U79">
        <v>37501</v>
      </c>
      <c r="V79" t="s">
        <v>61</v>
      </c>
      <c r="W79" t="s">
        <v>356</v>
      </c>
      <c r="X79" s="1">
        <v>44425</v>
      </c>
      <c r="Y79" t="s">
        <v>63</v>
      </c>
      <c r="Z79">
        <v>88.89</v>
      </c>
      <c r="AA79">
        <v>16</v>
      </c>
      <c r="AB79">
        <v>7.11</v>
      </c>
      <c r="AC79">
        <v>0</v>
      </c>
      <c r="AD79">
        <v>96</v>
      </c>
      <c r="AE79">
        <v>5237.74</v>
      </c>
      <c r="AF79">
        <v>6000</v>
      </c>
      <c r="AG79" t="s">
        <v>357</v>
      </c>
      <c r="AH79" t="s">
        <v>65</v>
      </c>
      <c r="AI79" t="s">
        <v>65</v>
      </c>
      <c r="AJ79" t="s">
        <v>66</v>
      </c>
      <c r="AK79" t="s">
        <v>66</v>
      </c>
      <c r="AL79" t="s">
        <v>66</v>
      </c>
      <c r="AM79" s="2" t="str">
        <f>HYPERLINK("https://transparencia.cidesi.mx/comprobantes/2021/CQ2100662 /C2FACTURA_1629238110248_341184945.pdf")</f>
        <v>https://transparencia.cidesi.mx/comprobantes/2021/CQ2100662 /C2FACTURA_1629238110248_341184945.pdf</v>
      </c>
      <c r="AN79" t="str">
        <f>HYPERLINK("https://transparencia.cidesi.mx/comprobantes/2021/CQ2100662 /C2FACTURA_1629238110248_341184945.pdf")</f>
        <v>https://transparencia.cidesi.mx/comprobantes/2021/CQ2100662 /C2FACTURA_1629238110248_341184945.pdf</v>
      </c>
      <c r="AO79" t="str">
        <f>HYPERLINK("https://transparencia.cidesi.mx/comprobantes/2021/CQ2100662 /C2FACTURA_1629238112048_341184945.xml")</f>
        <v>https://transparencia.cidesi.mx/comprobantes/2021/CQ2100662 /C2FACTURA_1629238112048_341184945.xml</v>
      </c>
      <c r="AP79" t="s">
        <v>358</v>
      </c>
      <c r="AQ79" t="s">
        <v>359</v>
      </c>
      <c r="AR79" t="s">
        <v>360</v>
      </c>
      <c r="AS79" t="s">
        <v>361</v>
      </c>
      <c r="AT79" s="1">
        <v>44428</v>
      </c>
      <c r="AU79" s="1">
        <v>44432</v>
      </c>
    </row>
    <row r="80" spans="1:47" x14ac:dyDescent="0.3">
      <c r="A80" t="s">
        <v>47</v>
      </c>
      <c r="B80" t="s">
        <v>48</v>
      </c>
      <c r="C80" t="s">
        <v>49</v>
      </c>
      <c r="D80">
        <v>377</v>
      </c>
      <c r="E80" t="s">
        <v>350</v>
      </c>
      <c r="F80" t="s">
        <v>351</v>
      </c>
      <c r="G80" t="s">
        <v>352</v>
      </c>
      <c r="H80" t="s">
        <v>353</v>
      </c>
      <c r="I80" t="s">
        <v>54</v>
      </c>
      <c r="J80" t="s">
        <v>354</v>
      </c>
      <c r="K80" t="s">
        <v>56</v>
      </c>
      <c r="L80">
        <v>0</v>
      </c>
      <c r="M80" t="s">
        <v>73</v>
      </c>
      <c r="N80">
        <v>0</v>
      </c>
      <c r="O80" t="s">
        <v>58</v>
      </c>
      <c r="P80" t="s">
        <v>59</v>
      </c>
      <c r="Q80" t="s">
        <v>355</v>
      </c>
      <c r="R80" t="s">
        <v>354</v>
      </c>
      <c r="S80" s="1">
        <v>44417</v>
      </c>
      <c r="T80" s="1">
        <v>44422</v>
      </c>
      <c r="U80">
        <v>37501</v>
      </c>
      <c r="V80" t="s">
        <v>61</v>
      </c>
      <c r="W80" t="s">
        <v>356</v>
      </c>
      <c r="X80" s="1">
        <v>44425</v>
      </c>
      <c r="Y80" t="s">
        <v>63</v>
      </c>
      <c r="Z80">
        <v>537.07000000000005</v>
      </c>
      <c r="AA80">
        <v>16</v>
      </c>
      <c r="AB80">
        <v>85.93</v>
      </c>
      <c r="AC80">
        <v>0</v>
      </c>
      <c r="AD80">
        <v>623</v>
      </c>
      <c r="AE80">
        <v>5237.74</v>
      </c>
      <c r="AF80">
        <v>6000</v>
      </c>
      <c r="AG80" t="s">
        <v>357</v>
      </c>
      <c r="AH80" t="s">
        <v>65</v>
      </c>
      <c r="AI80" t="s">
        <v>65</v>
      </c>
      <c r="AJ80" t="s">
        <v>66</v>
      </c>
      <c r="AK80" t="s">
        <v>66</v>
      </c>
      <c r="AL80" t="s">
        <v>66</v>
      </c>
      <c r="AM80" s="2" t="str">
        <f>HYPERLINK("https://transparencia.cidesi.mx/comprobantes/2021/CQ2100662 /C3FA0000019418.pdf")</f>
        <v>https://transparencia.cidesi.mx/comprobantes/2021/CQ2100662 /C3FA0000019418.pdf</v>
      </c>
      <c r="AN80" t="str">
        <f>HYPERLINK("https://transparencia.cidesi.mx/comprobantes/2021/CQ2100662 /C3FA0000019418.pdf")</f>
        <v>https://transparencia.cidesi.mx/comprobantes/2021/CQ2100662 /C3FA0000019418.pdf</v>
      </c>
      <c r="AO80" t="str">
        <f>HYPERLINK("https://transparencia.cidesi.mx/comprobantes/2021/CQ2100662 /C3FA0000019418.xml")</f>
        <v>https://transparencia.cidesi.mx/comprobantes/2021/CQ2100662 /C3FA0000019418.xml</v>
      </c>
      <c r="AP80" t="s">
        <v>358</v>
      </c>
      <c r="AQ80" t="s">
        <v>359</v>
      </c>
      <c r="AR80" t="s">
        <v>360</v>
      </c>
      <c r="AS80" t="s">
        <v>361</v>
      </c>
      <c r="AT80" s="1">
        <v>44428</v>
      </c>
      <c r="AU80" s="1">
        <v>44432</v>
      </c>
    </row>
    <row r="81" spans="1:47" x14ac:dyDescent="0.3">
      <c r="A81" t="s">
        <v>47</v>
      </c>
      <c r="B81" t="s">
        <v>48</v>
      </c>
      <c r="C81" t="s">
        <v>49</v>
      </c>
      <c r="D81">
        <v>377</v>
      </c>
      <c r="E81" t="s">
        <v>350</v>
      </c>
      <c r="F81" t="s">
        <v>351</v>
      </c>
      <c r="G81" t="s">
        <v>352</v>
      </c>
      <c r="H81" t="s">
        <v>353</v>
      </c>
      <c r="I81" t="s">
        <v>54</v>
      </c>
      <c r="J81" t="s">
        <v>354</v>
      </c>
      <c r="K81" t="s">
        <v>56</v>
      </c>
      <c r="L81">
        <v>0</v>
      </c>
      <c r="M81" t="s">
        <v>73</v>
      </c>
      <c r="N81">
        <v>0</v>
      </c>
      <c r="O81" t="s">
        <v>58</v>
      </c>
      <c r="P81" t="s">
        <v>59</v>
      </c>
      <c r="Q81" t="s">
        <v>355</v>
      </c>
      <c r="R81" t="s">
        <v>354</v>
      </c>
      <c r="S81" s="1">
        <v>44417</v>
      </c>
      <c r="T81" s="1">
        <v>44422</v>
      </c>
      <c r="U81">
        <v>37501</v>
      </c>
      <c r="V81" t="s">
        <v>104</v>
      </c>
      <c r="W81" t="s">
        <v>356</v>
      </c>
      <c r="X81" s="1">
        <v>44425</v>
      </c>
      <c r="Y81" t="s">
        <v>63</v>
      </c>
      <c r="Z81">
        <v>1191.3599999999999</v>
      </c>
      <c r="AA81">
        <v>16</v>
      </c>
      <c r="AB81">
        <v>186.88</v>
      </c>
      <c r="AC81">
        <v>0</v>
      </c>
      <c r="AD81">
        <v>1378.24</v>
      </c>
      <c r="AE81">
        <v>5237.74</v>
      </c>
      <c r="AF81">
        <v>6000</v>
      </c>
      <c r="AG81" t="s">
        <v>362</v>
      </c>
      <c r="AH81" t="s">
        <v>65</v>
      </c>
      <c r="AI81" t="s">
        <v>65</v>
      </c>
      <c r="AJ81" t="s">
        <v>66</v>
      </c>
      <c r="AK81" t="s">
        <v>66</v>
      </c>
      <c r="AL81" t="s">
        <v>66</v>
      </c>
      <c r="AM81" s="2" t="str">
        <f>HYPERLINK("https://transparencia.cidesi.mx/comprobantes/2021/CQ2100662 /C4HFR830620BL6_113077A_ING_Sellov33.pdf")</f>
        <v>https://transparencia.cidesi.mx/comprobantes/2021/CQ2100662 /C4HFR830620BL6_113077A_ING_Sellov33.pdf</v>
      </c>
      <c r="AN81" t="str">
        <f>HYPERLINK("https://transparencia.cidesi.mx/comprobantes/2021/CQ2100662 /C4HFR830620BL6_113077A_ING_Sellov33.pdf")</f>
        <v>https://transparencia.cidesi.mx/comprobantes/2021/CQ2100662 /C4HFR830620BL6_113077A_ING_Sellov33.pdf</v>
      </c>
      <c r="AO81" t="str">
        <f>HYPERLINK("https://transparencia.cidesi.mx/comprobantes/2021/CQ2100662 /C4HFR830620BL6_113077A_ING_Sellov33.xml")</f>
        <v>https://transparencia.cidesi.mx/comprobantes/2021/CQ2100662 /C4HFR830620BL6_113077A_ING_Sellov33.xml</v>
      </c>
      <c r="AP81" t="s">
        <v>358</v>
      </c>
      <c r="AQ81" t="s">
        <v>359</v>
      </c>
      <c r="AR81" t="s">
        <v>360</v>
      </c>
      <c r="AS81" t="s">
        <v>361</v>
      </c>
      <c r="AT81" s="1">
        <v>44428</v>
      </c>
      <c r="AU81" s="1">
        <v>44432</v>
      </c>
    </row>
    <row r="82" spans="1:47" x14ac:dyDescent="0.3">
      <c r="A82" t="s">
        <v>47</v>
      </c>
      <c r="B82" t="s">
        <v>48</v>
      </c>
      <c r="C82" t="s">
        <v>49</v>
      </c>
      <c r="D82">
        <v>377</v>
      </c>
      <c r="E82" t="s">
        <v>350</v>
      </c>
      <c r="F82" t="s">
        <v>351</v>
      </c>
      <c r="G82" t="s">
        <v>352</v>
      </c>
      <c r="H82" t="s">
        <v>353</v>
      </c>
      <c r="I82" t="s">
        <v>54</v>
      </c>
      <c r="J82" t="s">
        <v>354</v>
      </c>
      <c r="K82" t="s">
        <v>56</v>
      </c>
      <c r="L82">
        <v>0</v>
      </c>
      <c r="M82" t="s">
        <v>73</v>
      </c>
      <c r="N82">
        <v>0</v>
      </c>
      <c r="O82" t="s">
        <v>58</v>
      </c>
      <c r="P82" t="s">
        <v>59</v>
      </c>
      <c r="Q82" t="s">
        <v>355</v>
      </c>
      <c r="R82" t="s">
        <v>354</v>
      </c>
      <c r="S82" s="1">
        <v>44417</v>
      </c>
      <c r="T82" s="1">
        <v>44422</v>
      </c>
      <c r="U82">
        <v>37501</v>
      </c>
      <c r="V82" t="s">
        <v>61</v>
      </c>
      <c r="W82" t="s">
        <v>356</v>
      </c>
      <c r="X82" s="1">
        <v>44425</v>
      </c>
      <c r="Y82" t="s">
        <v>63</v>
      </c>
      <c r="Z82">
        <v>315.74</v>
      </c>
      <c r="AA82">
        <v>16</v>
      </c>
      <c r="AB82">
        <v>25.26</v>
      </c>
      <c r="AC82">
        <v>0</v>
      </c>
      <c r="AD82">
        <v>341</v>
      </c>
      <c r="AE82">
        <v>5237.74</v>
      </c>
      <c r="AF82">
        <v>6000</v>
      </c>
      <c r="AG82" t="s">
        <v>357</v>
      </c>
      <c r="AH82" t="s">
        <v>65</v>
      </c>
      <c r="AI82" t="s">
        <v>65</v>
      </c>
      <c r="AJ82" t="s">
        <v>66</v>
      </c>
      <c r="AK82" t="s">
        <v>66</v>
      </c>
      <c r="AL82" t="s">
        <v>66</v>
      </c>
      <c r="AM82" s="2" t="str">
        <f>HYPERLINK("https://transparencia.cidesi.mx/comprobantes/2021/CQ2100662 /C52EFF87DC-FA3F-11EB-9F32-33415FAF3F20.pdf")</f>
        <v>https://transparencia.cidesi.mx/comprobantes/2021/CQ2100662 /C52EFF87DC-FA3F-11EB-9F32-33415FAF3F20.pdf</v>
      </c>
      <c r="AN82" t="str">
        <f>HYPERLINK("https://transparencia.cidesi.mx/comprobantes/2021/CQ2100662 /C52EFF87DC-FA3F-11EB-9F32-33415FAF3F20.pdf")</f>
        <v>https://transparencia.cidesi.mx/comprobantes/2021/CQ2100662 /C52EFF87DC-FA3F-11EB-9F32-33415FAF3F20.pdf</v>
      </c>
      <c r="AO82" t="str">
        <f>HYPERLINK("https://transparencia.cidesi.mx/comprobantes/2021/CQ2100662 /C52EFF87DC-FA3F-11EB-9F32-33415FAF3F20.xml")</f>
        <v>https://transparencia.cidesi.mx/comprobantes/2021/CQ2100662 /C52EFF87DC-FA3F-11EB-9F32-33415FAF3F20.xml</v>
      </c>
      <c r="AP82" t="s">
        <v>358</v>
      </c>
      <c r="AQ82" t="s">
        <v>359</v>
      </c>
      <c r="AR82" t="s">
        <v>360</v>
      </c>
      <c r="AS82" t="s">
        <v>361</v>
      </c>
      <c r="AT82" s="1">
        <v>44428</v>
      </c>
      <c r="AU82" s="1">
        <v>44432</v>
      </c>
    </row>
    <row r="83" spans="1:47" x14ac:dyDescent="0.3">
      <c r="A83" t="s">
        <v>47</v>
      </c>
      <c r="B83" t="s">
        <v>48</v>
      </c>
      <c r="C83" t="s">
        <v>49</v>
      </c>
      <c r="D83">
        <v>377</v>
      </c>
      <c r="E83" t="s">
        <v>350</v>
      </c>
      <c r="F83" t="s">
        <v>351</v>
      </c>
      <c r="G83" t="s">
        <v>352</v>
      </c>
      <c r="H83" t="s">
        <v>353</v>
      </c>
      <c r="I83" t="s">
        <v>54</v>
      </c>
      <c r="J83" t="s">
        <v>354</v>
      </c>
      <c r="K83" t="s">
        <v>56</v>
      </c>
      <c r="L83">
        <v>0</v>
      </c>
      <c r="M83" t="s">
        <v>73</v>
      </c>
      <c r="N83">
        <v>0</v>
      </c>
      <c r="O83" t="s">
        <v>58</v>
      </c>
      <c r="P83" t="s">
        <v>59</v>
      </c>
      <c r="Q83" t="s">
        <v>355</v>
      </c>
      <c r="R83" t="s">
        <v>354</v>
      </c>
      <c r="S83" s="1">
        <v>44417</v>
      </c>
      <c r="T83" s="1">
        <v>44422</v>
      </c>
      <c r="U83">
        <v>37501</v>
      </c>
      <c r="V83" t="s">
        <v>61</v>
      </c>
      <c r="W83" t="s">
        <v>356</v>
      </c>
      <c r="X83" s="1">
        <v>44425</v>
      </c>
      <c r="Y83" t="s">
        <v>63</v>
      </c>
      <c r="Z83">
        <v>272.22000000000003</v>
      </c>
      <c r="AA83">
        <v>16</v>
      </c>
      <c r="AB83">
        <v>21.78</v>
      </c>
      <c r="AC83">
        <v>0</v>
      </c>
      <c r="AD83">
        <v>294</v>
      </c>
      <c r="AE83">
        <v>5237.74</v>
      </c>
      <c r="AF83">
        <v>6000</v>
      </c>
      <c r="AG83" t="s">
        <v>357</v>
      </c>
      <c r="AH83" t="s">
        <v>65</v>
      </c>
      <c r="AI83" t="s">
        <v>65</v>
      </c>
      <c r="AJ83" t="s">
        <v>66</v>
      </c>
      <c r="AK83" t="s">
        <v>66</v>
      </c>
      <c r="AL83" t="s">
        <v>66</v>
      </c>
      <c r="AM83" s="2" t="str">
        <f>HYPERLINK("https://transparencia.cidesi.mx/comprobantes/2021/CQ2100662 /C6111264.pdf")</f>
        <v>https://transparencia.cidesi.mx/comprobantes/2021/CQ2100662 /C6111264.pdf</v>
      </c>
      <c r="AN83" t="str">
        <f>HYPERLINK("https://transparencia.cidesi.mx/comprobantes/2021/CQ2100662 /C6111264.pdf")</f>
        <v>https://transparencia.cidesi.mx/comprobantes/2021/CQ2100662 /C6111264.pdf</v>
      </c>
      <c r="AO83" t="str">
        <f>HYPERLINK("https://transparencia.cidesi.mx/comprobantes/2021/CQ2100662 /C6111264.xml")</f>
        <v>https://transparencia.cidesi.mx/comprobantes/2021/CQ2100662 /C6111264.xml</v>
      </c>
      <c r="AP83" t="s">
        <v>358</v>
      </c>
      <c r="AQ83" t="s">
        <v>359</v>
      </c>
      <c r="AR83" t="s">
        <v>360</v>
      </c>
      <c r="AS83" t="s">
        <v>361</v>
      </c>
      <c r="AT83" s="1">
        <v>44428</v>
      </c>
      <c r="AU83" s="1">
        <v>44432</v>
      </c>
    </row>
    <row r="84" spans="1:47" x14ac:dyDescent="0.3">
      <c r="A84" t="s">
        <v>47</v>
      </c>
      <c r="B84" t="s">
        <v>48</v>
      </c>
      <c r="C84" t="s">
        <v>49</v>
      </c>
      <c r="D84">
        <v>377</v>
      </c>
      <c r="E84" t="s">
        <v>350</v>
      </c>
      <c r="F84" t="s">
        <v>351</v>
      </c>
      <c r="G84" t="s">
        <v>352</v>
      </c>
      <c r="H84" t="s">
        <v>353</v>
      </c>
      <c r="I84" t="s">
        <v>54</v>
      </c>
      <c r="J84" t="s">
        <v>354</v>
      </c>
      <c r="K84" t="s">
        <v>56</v>
      </c>
      <c r="L84">
        <v>0</v>
      </c>
      <c r="M84" t="s">
        <v>73</v>
      </c>
      <c r="N84">
        <v>0</v>
      </c>
      <c r="O84" t="s">
        <v>58</v>
      </c>
      <c r="P84" t="s">
        <v>59</v>
      </c>
      <c r="Q84" t="s">
        <v>355</v>
      </c>
      <c r="R84" t="s">
        <v>354</v>
      </c>
      <c r="S84" s="1">
        <v>44417</v>
      </c>
      <c r="T84" s="1">
        <v>44422</v>
      </c>
      <c r="U84">
        <v>37501</v>
      </c>
      <c r="V84" t="s">
        <v>61</v>
      </c>
      <c r="W84" t="s">
        <v>356</v>
      </c>
      <c r="X84" s="1">
        <v>44425</v>
      </c>
      <c r="Y84" t="s">
        <v>63</v>
      </c>
      <c r="Z84">
        <v>172.41</v>
      </c>
      <c r="AA84">
        <v>16</v>
      </c>
      <c r="AB84">
        <v>27.59</v>
      </c>
      <c r="AC84">
        <v>20</v>
      </c>
      <c r="AD84">
        <v>220</v>
      </c>
      <c r="AE84">
        <v>5237.74</v>
      </c>
      <c r="AF84">
        <v>6000</v>
      </c>
      <c r="AG84" t="s">
        <v>357</v>
      </c>
      <c r="AH84" t="s">
        <v>65</v>
      </c>
      <c r="AI84" t="s">
        <v>65</v>
      </c>
      <c r="AJ84" t="s">
        <v>66</v>
      </c>
      <c r="AK84" t="s">
        <v>66</v>
      </c>
      <c r="AL84" t="s">
        <v>66</v>
      </c>
      <c r="AM84" s="2" t="str">
        <f>HYPERLINK("https://transparencia.cidesi.mx/comprobantes/2021/CQ2100662 /C7Factura-162553.pdf")</f>
        <v>https://transparencia.cidesi.mx/comprobantes/2021/CQ2100662 /C7Factura-162553.pdf</v>
      </c>
      <c r="AN84" t="str">
        <f>HYPERLINK("https://transparencia.cidesi.mx/comprobantes/2021/CQ2100662 /C7Factura-162553.pdf")</f>
        <v>https://transparencia.cidesi.mx/comprobantes/2021/CQ2100662 /C7Factura-162553.pdf</v>
      </c>
      <c r="AO84" t="str">
        <f>HYPERLINK("https://transparencia.cidesi.mx/comprobantes/2021/CQ2100662 /C7Factura-162553.xml")</f>
        <v>https://transparencia.cidesi.mx/comprobantes/2021/CQ2100662 /C7Factura-162553.xml</v>
      </c>
      <c r="AP84" t="s">
        <v>358</v>
      </c>
      <c r="AQ84" t="s">
        <v>359</v>
      </c>
      <c r="AR84" t="s">
        <v>360</v>
      </c>
      <c r="AS84" t="s">
        <v>361</v>
      </c>
      <c r="AT84" s="1">
        <v>44428</v>
      </c>
      <c r="AU84" s="1">
        <v>44432</v>
      </c>
    </row>
    <row r="85" spans="1:47" x14ac:dyDescent="0.3">
      <c r="A85" t="s">
        <v>47</v>
      </c>
      <c r="B85" t="s">
        <v>48</v>
      </c>
      <c r="C85" t="s">
        <v>49</v>
      </c>
      <c r="D85">
        <v>377</v>
      </c>
      <c r="E85" t="s">
        <v>350</v>
      </c>
      <c r="F85" t="s">
        <v>351</v>
      </c>
      <c r="G85" t="s">
        <v>352</v>
      </c>
      <c r="H85" t="s">
        <v>353</v>
      </c>
      <c r="I85" t="s">
        <v>54</v>
      </c>
      <c r="J85" t="s">
        <v>354</v>
      </c>
      <c r="K85" t="s">
        <v>56</v>
      </c>
      <c r="L85">
        <v>0</v>
      </c>
      <c r="M85" t="s">
        <v>73</v>
      </c>
      <c r="N85">
        <v>0</v>
      </c>
      <c r="O85" t="s">
        <v>58</v>
      </c>
      <c r="P85" t="s">
        <v>59</v>
      </c>
      <c r="Q85" t="s">
        <v>355</v>
      </c>
      <c r="R85" t="s">
        <v>354</v>
      </c>
      <c r="S85" s="1">
        <v>44417</v>
      </c>
      <c r="T85" s="1">
        <v>44422</v>
      </c>
      <c r="U85">
        <v>37501</v>
      </c>
      <c r="V85" t="s">
        <v>104</v>
      </c>
      <c r="W85" t="s">
        <v>356</v>
      </c>
      <c r="X85" s="1">
        <v>44425</v>
      </c>
      <c r="Y85" t="s">
        <v>63</v>
      </c>
      <c r="Z85">
        <v>1481.78</v>
      </c>
      <c r="AA85">
        <v>16</v>
      </c>
      <c r="AB85">
        <v>116.22</v>
      </c>
      <c r="AC85">
        <v>0</v>
      </c>
      <c r="AD85">
        <v>1598</v>
      </c>
      <c r="AE85">
        <v>5237.74</v>
      </c>
      <c r="AF85">
        <v>6000</v>
      </c>
      <c r="AG85" t="s">
        <v>362</v>
      </c>
      <c r="AH85" t="s">
        <v>65</v>
      </c>
      <c r="AI85" t="s">
        <v>65</v>
      </c>
      <c r="AJ85" t="s">
        <v>66</v>
      </c>
      <c r="AK85" t="s">
        <v>66</v>
      </c>
      <c r="AL85" t="s">
        <v>66</v>
      </c>
      <c r="AM85" s="2" t="str">
        <f>HYPERLINK("https://transparencia.cidesi.mx/comprobantes/2021/CQ2100662 /C8H0000006339_b278ca43-7b8e-4b36-b77f-41ecb8406ed22758802506281931306.pdf")</f>
        <v>https://transparencia.cidesi.mx/comprobantes/2021/CQ2100662 /C8H0000006339_b278ca43-7b8e-4b36-b77f-41ecb8406ed22758802506281931306.pdf</v>
      </c>
      <c r="AN85" t="str">
        <f>HYPERLINK("https://transparencia.cidesi.mx/comprobantes/2021/CQ2100662 /C8H0000006339_b278ca43-7b8e-4b36-b77f-41ecb8406ed22758802506281931306.pdf")</f>
        <v>https://transparencia.cidesi.mx/comprobantes/2021/CQ2100662 /C8H0000006339_b278ca43-7b8e-4b36-b77f-41ecb8406ed22758802506281931306.pdf</v>
      </c>
      <c r="AO85" t="str">
        <f>HYPERLINK("https://transparencia.cidesi.mx/comprobantes/2021/CQ2100662 /C8H0000006339_b278ca43-7b8e-4b36-b77f-41ecb8406ed28980411178333582560.xml")</f>
        <v>https://transparencia.cidesi.mx/comprobantes/2021/CQ2100662 /C8H0000006339_b278ca43-7b8e-4b36-b77f-41ecb8406ed28980411178333582560.xml</v>
      </c>
      <c r="AP85" t="s">
        <v>358</v>
      </c>
      <c r="AQ85" t="s">
        <v>359</v>
      </c>
      <c r="AR85" t="s">
        <v>360</v>
      </c>
      <c r="AS85" t="s">
        <v>361</v>
      </c>
      <c r="AT85" s="1">
        <v>44428</v>
      </c>
      <c r="AU85" s="1">
        <v>44432</v>
      </c>
    </row>
    <row r="86" spans="1:47" x14ac:dyDescent="0.3">
      <c r="A86" t="s">
        <v>47</v>
      </c>
      <c r="B86" t="s">
        <v>48</v>
      </c>
      <c r="C86" t="s">
        <v>49</v>
      </c>
      <c r="D86">
        <v>377</v>
      </c>
      <c r="E86" t="s">
        <v>350</v>
      </c>
      <c r="F86" t="s">
        <v>351</v>
      </c>
      <c r="G86" t="s">
        <v>352</v>
      </c>
      <c r="H86" t="s">
        <v>353</v>
      </c>
      <c r="I86" t="s">
        <v>54</v>
      </c>
      <c r="J86" t="s">
        <v>354</v>
      </c>
      <c r="K86" t="s">
        <v>56</v>
      </c>
      <c r="L86">
        <v>0</v>
      </c>
      <c r="M86" t="s">
        <v>73</v>
      </c>
      <c r="N86">
        <v>0</v>
      </c>
      <c r="O86" t="s">
        <v>58</v>
      </c>
      <c r="P86" t="s">
        <v>59</v>
      </c>
      <c r="Q86" t="s">
        <v>355</v>
      </c>
      <c r="R86" t="s">
        <v>354</v>
      </c>
      <c r="S86" s="1">
        <v>44417</v>
      </c>
      <c r="T86" s="1">
        <v>44422</v>
      </c>
      <c r="U86">
        <v>37501</v>
      </c>
      <c r="V86" t="s">
        <v>61</v>
      </c>
      <c r="W86" t="s">
        <v>356</v>
      </c>
      <c r="X86" s="1">
        <v>44425</v>
      </c>
      <c r="Y86" t="s">
        <v>63</v>
      </c>
      <c r="Z86">
        <v>79.31</v>
      </c>
      <c r="AA86">
        <v>16</v>
      </c>
      <c r="AB86">
        <v>12.69</v>
      </c>
      <c r="AC86">
        <v>0</v>
      </c>
      <c r="AD86">
        <v>92</v>
      </c>
      <c r="AE86">
        <v>5237.74</v>
      </c>
      <c r="AF86">
        <v>6000</v>
      </c>
      <c r="AG86" t="s">
        <v>357</v>
      </c>
      <c r="AH86" t="s">
        <v>65</v>
      </c>
      <c r="AI86" t="s">
        <v>65</v>
      </c>
      <c r="AJ86" t="s">
        <v>66</v>
      </c>
      <c r="AK86" t="s">
        <v>66</v>
      </c>
      <c r="AL86" t="s">
        <v>66</v>
      </c>
      <c r="AM86" s="2" t="str">
        <f>HYPERLINK("https://transparencia.cidesi.mx/comprobantes/2021/CQ2100662 /C9HPM8708257W1_134442A_ING_Sellov33.pdf")</f>
        <v>https://transparencia.cidesi.mx/comprobantes/2021/CQ2100662 /C9HPM8708257W1_134442A_ING_Sellov33.pdf</v>
      </c>
      <c r="AN86" t="str">
        <f>HYPERLINK("https://transparencia.cidesi.mx/comprobantes/2021/CQ2100662 /C9HPM8708257W1_134442A_ING_Sellov33.pdf")</f>
        <v>https://transparencia.cidesi.mx/comprobantes/2021/CQ2100662 /C9HPM8708257W1_134442A_ING_Sellov33.pdf</v>
      </c>
      <c r="AO86" t="str">
        <f>HYPERLINK("https://transparencia.cidesi.mx/comprobantes/2021/CQ2100662 /C9HPM8708257W1_134442A_ING_Sellov33.xml")</f>
        <v>https://transparencia.cidesi.mx/comprobantes/2021/CQ2100662 /C9HPM8708257W1_134442A_ING_Sellov33.xml</v>
      </c>
      <c r="AP86" t="s">
        <v>358</v>
      </c>
      <c r="AQ86" t="s">
        <v>359</v>
      </c>
      <c r="AR86" t="s">
        <v>360</v>
      </c>
      <c r="AS86" t="s">
        <v>361</v>
      </c>
      <c r="AT86" s="1">
        <v>44428</v>
      </c>
      <c r="AU86" s="1">
        <v>44432</v>
      </c>
    </row>
    <row r="87" spans="1:47" x14ac:dyDescent="0.3">
      <c r="A87" t="s">
        <v>47</v>
      </c>
      <c r="B87" t="s">
        <v>48</v>
      </c>
      <c r="C87" t="s">
        <v>49</v>
      </c>
      <c r="D87">
        <v>377</v>
      </c>
      <c r="E87" t="s">
        <v>350</v>
      </c>
      <c r="F87" t="s">
        <v>351</v>
      </c>
      <c r="G87" t="s">
        <v>352</v>
      </c>
      <c r="H87" t="s">
        <v>353</v>
      </c>
      <c r="I87" t="s">
        <v>54</v>
      </c>
      <c r="J87" t="s">
        <v>354</v>
      </c>
      <c r="K87" t="s">
        <v>56</v>
      </c>
      <c r="L87">
        <v>0</v>
      </c>
      <c r="M87" t="s">
        <v>73</v>
      </c>
      <c r="N87">
        <v>0</v>
      </c>
      <c r="O87" t="s">
        <v>58</v>
      </c>
      <c r="P87" t="s">
        <v>59</v>
      </c>
      <c r="Q87" t="s">
        <v>355</v>
      </c>
      <c r="R87" t="s">
        <v>354</v>
      </c>
      <c r="S87" s="1">
        <v>44417</v>
      </c>
      <c r="T87" s="1">
        <v>44422</v>
      </c>
      <c r="U87">
        <v>37501</v>
      </c>
      <c r="V87" t="s">
        <v>61</v>
      </c>
      <c r="W87" t="s">
        <v>356</v>
      </c>
      <c r="X87" s="1">
        <v>44425</v>
      </c>
      <c r="Y87" t="s">
        <v>63</v>
      </c>
      <c r="Z87">
        <v>141.38</v>
      </c>
      <c r="AA87">
        <v>16</v>
      </c>
      <c r="AB87">
        <v>22.62</v>
      </c>
      <c r="AC87">
        <v>0</v>
      </c>
      <c r="AD87">
        <v>164</v>
      </c>
      <c r="AE87">
        <v>5237.74</v>
      </c>
      <c r="AF87">
        <v>6000</v>
      </c>
      <c r="AG87" t="s">
        <v>357</v>
      </c>
      <c r="AH87" t="s">
        <v>65</v>
      </c>
      <c r="AI87" t="s">
        <v>65</v>
      </c>
      <c r="AJ87" t="s">
        <v>66</v>
      </c>
      <c r="AK87" t="s">
        <v>66</v>
      </c>
      <c r="AL87" t="s">
        <v>66</v>
      </c>
      <c r="AM87" s="2" t="str">
        <f>HYPERLINK("https://transparencia.cidesi.mx/comprobantes/2021/CQ2100662 /C10HPM8708257W1_134406A_ING_Sellov33.pdf")</f>
        <v>https://transparencia.cidesi.mx/comprobantes/2021/CQ2100662 /C10HPM8708257W1_134406A_ING_Sellov33.pdf</v>
      </c>
      <c r="AN87" t="str">
        <f>HYPERLINK("https://transparencia.cidesi.mx/comprobantes/2021/CQ2100662 /C10HPM8708257W1_134406A_ING_Sellov33.pdf")</f>
        <v>https://transparencia.cidesi.mx/comprobantes/2021/CQ2100662 /C10HPM8708257W1_134406A_ING_Sellov33.pdf</v>
      </c>
      <c r="AO87" t="str">
        <f>HYPERLINK("https://transparencia.cidesi.mx/comprobantes/2021/CQ2100662 /C10HPM8708257W1_134406A_ING_Sellov33.xml")</f>
        <v>https://transparencia.cidesi.mx/comprobantes/2021/CQ2100662 /C10HPM8708257W1_134406A_ING_Sellov33.xml</v>
      </c>
      <c r="AP87" t="s">
        <v>358</v>
      </c>
      <c r="AQ87" t="s">
        <v>359</v>
      </c>
      <c r="AR87" t="s">
        <v>360</v>
      </c>
      <c r="AS87" t="s">
        <v>361</v>
      </c>
      <c r="AT87" s="1">
        <v>44428</v>
      </c>
      <c r="AU87" s="1">
        <v>44432</v>
      </c>
    </row>
    <row r="88" spans="1:47" x14ac:dyDescent="0.3">
      <c r="A88" t="s">
        <v>47</v>
      </c>
      <c r="B88" t="s">
        <v>48</v>
      </c>
      <c r="C88" t="s">
        <v>49</v>
      </c>
      <c r="D88">
        <v>377</v>
      </c>
      <c r="E88" t="s">
        <v>350</v>
      </c>
      <c r="F88" t="s">
        <v>351</v>
      </c>
      <c r="G88" t="s">
        <v>352</v>
      </c>
      <c r="H88" t="s">
        <v>353</v>
      </c>
      <c r="I88" t="s">
        <v>54</v>
      </c>
      <c r="J88" t="s">
        <v>354</v>
      </c>
      <c r="K88" t="s">
        <v>56</v>
      </c>
      <c r="L88">
        <v>0</v>
      </c>
      <c r="M88" t="s">
        <v>73</v>
      </c>
      <c r="N88">
        <v>0</v>
      </c>
      <c r="O88" t="s">
        <v>58</v>
      </c>
      <c r="P88" t="s">
        <v>59</v>
      </c>
      <c r="Q88" t="s">
        <v>355</v>
      </c>
      <c r="R88" t="s">
        <v>354</v>
      </c>
      <c r="S88" s="1">
        <v>44417</v>
      </c>
      <c r="T88" s="1">
        <v>44422</v>
      </c>
      <c r="U88">
        <v>37501</v>
      </c>
      <c r="V88" t="s">
        <v>61</v>
      </c>
      <c r="W88" t="s">
        <v>356</v>
      </c>
      <c r="X88" s="1">
        <v>44425</v>
      </c>
      <c r="Y88" t="s">
        <v>63</v>
      </c>
      <c r="Z88">
        <v>55.17</v>
      </c>
      <c r="AA88">
        <v>16</v>
      </c>
      <c r="AB88">
        <v>8.83</v>
      </c>
      <c r="AC88">
        <v>0</v>
      </c>
      <c r="AD88">
        <v>64</v>
      </c>
      <c r="AE88">
        <v>5237.74</v>
      </c>
      <c r="AF88">
        <v>6000</v>
      </c>
      <c r="AG88" t="s">
        <v>357</v>
      </c>
      <c r="AH88" t="s">
        <v>65</v>
      </c>
      <c r="AI88" t="s">
        <v>65</v>
      </c>
      <c r="AJ88" t="s">
        <v>66</v>
      </c>
      <c r="AK88" t="s">
        <v>66</v>
      </c>
      <c r="AL88" t="s">
        <v>66</v>
      </c>
      <c r="AM88" s="2" t="str">
        <f>HYPERLINK("https://transparencia.cidesi.mx/comprobantes/2021/CQ2100662 /C11HPM8708257W1_134433A_ING_Sellov33.pdf")</f>
        <v>https://transparencia.cidesi.mx/comprobantes/2021/CQ2100662 /C11HPM8708257W1_134433A_ING_Sellov33.pdf</v>
      </c>
      <c r="AN88" t="str">
        <f>HYPERLINK("https://transparencia.cidesi.mx/comprobantes/2021/CQ2100662 /C11HPM8708257W1_134433A_ING_Sellov33.pdf")</f>
        <v>https://transparencia.cidesi.mx/comprobantes/2021/CQ2100662 /C11HPM8708257W1_134433A_ING_Sellov33.pdf</v>
      </c>
      <c r="AO88" t="str">
        <f>HYPERLINK("https://transparencia.cidesi.mx/comprobantes/2021/CQ2100662 /C11HPM8708257W1_134433A_ING_Sellov33.xml")</f>
        <v>https://transparencia.cidesi.mx/comprobantes/2021/CQ2100662 /C11HPM8708257W1_134433A_ING_Sellov33.xml</v>
      </c>
      <c r="AP88" t="s">
        <v>358</v>
      </c>
      <c r="AQ88" t="s">
        <v>359</v>
      </c>
      <c r="AR88" t="s">
        <v>360</v>
      </c>
      <c r="AS88" t="s">
        <v>361</v>
      </c>
      <c r="AT88" s="1">
        <v>44428</v>
      </c>
      <c r="AU88" s="1">
        <v>44432</v>
      </c>
    </row>
    <row r="89" spans="1:47" x14ac:dyDescent="0.3">
      <c r="A89" t="s">
        <v>47</v>
      </c>
      <c r="B89" t="s">
        <v>48</v>
      </c>
      <c r="C89" t="s">
        <v>49</v>
      </c>
      <c r="D89">
        <v>377</v>
      </c>
      <c r="E89" t="s">
        <v>350</v>
      </c>
      <c r="F89" t="s">
        <v>351</v>
      </c>
      <c r="G89" t="s">
        <v>352</v>
      </c>
      <c r="H89" t="s">
        <v>353</v>
      </c>
      <c r="I89" t="s">
        <v>54</v>
      </c>
      <c r="J89" t="s">
        <v>354</v>
      </c>
      <c r="K89" t="s">
        <v>56</v>
      </c>
      <c r="L89">
        <v>0</v>
      </c>
      <c r="M89" t="s">
        <v>73</v>
      </c>
      <c r="N89">
        <v>0</v>
      </c>
      <c r="O89" t="s">
        <v>58</v>
      </c>
      <c r="P89" t="s">
        <v>59</v>
      </c>
      <c r="Q89" t="s">
        <v>355</v>
      </c>
      <c r="R89" t="s">
        <v>354</v>
      </c>
      <c r="S89" s="1">
        <v>44417</v>
      </c>
      <c r="T89" s="1">
        <v>44422</v>
      </c>
      <c r="U89">
        <v>37501</v>
      </c>
      <c r="V89" t="s">
        <v>61</v>
      </c>
      <c r="W89" t="s">
        <v>356</v>
      </c>
      <c r="X89" s="1">
        <v>44425</v>
      </c>
      <c r="Y89" t="s">
        <v>63</v>
      </c>
      <c r="Z89">
        <v>96.55</v>
      </c>
      <c r="AA89">
        <v>16</v>
      </c>
      <c r="AB89">
        <v>15.45</v>
      </c>
      <c r="AC89">
        <v>0</v>
      </c>
      <c r="AD89">
        <v>112</v>
      </c>
      <c r="AE89">
        <v>5237.74</v>
      </c>
      <c r="AF89">
        <v>6000</v>
      </c>
      <c r="AG89" t="s">
        <v>357</v>
      </c>
      <c r="AH89" t="s">
        <v>65</v>
      </c>
      <c r="AI89" t="s">
        <v>65</v>
      </c>
      <c r="AJ89" t="s">
        <v>66</v>
      </c>
      <c r="AK89" t="s">
        <v>66</v>
      </c>
      <c r="AL89" t="s">
        <v>66</v>
      </c>
      <c r="AM89" s="2" t="str">
        <f>HYPERLINK("https://transparencia.cidesi.mx/comprobantes/2021/CQ2100662 /C12HPM8708257W1_134421A_ING_Sellov33.pdf")</f>
        <v>https://transparencia.cidesi.mx/comprobantes/2021/CQ2100662 /C12HPM8708257W1_134421A_ING_Sellov33.pdf</v>
      </c>
      <c r="AN89" t="str">
        <f>HYPERLINK("https://transparencia.cidesi.mx/comprobantes/2021/CQ2100662 /C12HPM8708257W1_134421A_ING_Sellov33.pdf")</f>
        <v>https://transparencia.cidesi.mx/comprobantes/2021/CQ2100662 /C12HPM8708257W1_134421A_ING_Sellov33.pdf</v>
      </c>
      <c r="AO89" t="str">
        <f>HYPERLINK("https://transparencia.cidesi.mx/comprobantes/2021/CQ2100662 /C12HPM8708257W1_134421A_ING_Sellov33.xml")</f>
        <v>https://transparencia.cidesi.mx/comprobantes/2021/CQ2100662 /C12HPM8708257W1_134421A_ING_Sellov33.xml</v>
      </c>
      <c r="AP89" t="s">
        <v>358</v>
      </c>
      <c r="AQ89" t="s">
        <v>359</v>
      </c>
      <c r="AR89" t="s">
        <v>360</v>
      </c>
      <c r="AS89" t="s">
        <v>361</v>
      </c>
      <c r="AT89" s="1">
        <v>44428</v>
      </c>
      <c r="AU89" s="1">
        <v>44432</v>
      </c>
    </row>
    <row r="90" spans="1:47" x14ac:dyDescent="0.3">
      <c r="A90" t="s">
        <v>47</v>
      </c>
      <c r="B90" t="s">
        <v>48</v>
      </c>
      <c r="C90" t="s">
        <v>49</v>
      </c>
      <c r="D90">
        <v>377</v>
      </c>
      <c r="E90" t="s">
        <v>350</v>
      </c>
      <c r="F90" t="s">
        <v>351</v>
      </c>
      <c r="G90" t="s">
        <v>352</v>
      </c>
      <c r="H90" t="s">
        <v>353</v>
      </c>
      <c r="I90" t="s">
        <v>54</v>
      </c>
      <c r="J90" t="s">
        <v>354</v>
      </c>
      <c r="K90" t="s">
        <v>56</v>
      </c>
      <c r="L90">
        <v>0</v>
      </c>
      <c r="M90" t="s">
        <v>73</v>
      </c>
      <c r="N90">
        <v>0</v>
      </c>
      <c r="O90" t="s">
        <v>58</v>
      </c>
      <c r="P90" t="s">
        <v>59</v>
      </c>
      <c r="Q90" t="s">
        <v>355</v>
      </c>
      <c r="R90" t="s">
        <v>354</v>
      </c>
      <c r="S90" s="1">
        <v>44417</v>
      </c>
      <c r="T90" s="1">
        <v>44422</v>
      </c>
      <c r="U90">
        <v>37501</v>
      </c>
      <c r="V90" t="s">
        <v>94</v>
      </c>
      <c r="W90" t="s">
        <v>356</v>
      </c>
      <c r="X90" s="1">
        <v>44425</v>
      </c>
      <c r="Y90" t="s">
        <v>63</v>
      </c>
      <c r="Z90">
        <v>74.14</v>
      </c>
      <c r="AA90">
        <v>16</v>
      </c>
      <c r="AB90">
        <v>11.86</v>
      </c>
      <c r="AC90">
        <v>0</v>
      </c>
      <c r="AD90">
        <v>86</v>
      </c>
      <c r="AE90">
        <v>5237.74</v>
      </c>
      <c r="AF90">
        <v>6000</v>
      </c>
      <c r="AG90" t="s">
        <v>363</v>
      </c>
      <c r="AH90" t="s">
        <v>66</v>
      </c>
      <c r="AI90" t="s">
        <v>65</v>
      </c>
      <c r="AJ90" t="s">
        <v>66</v>
      </c>
      <c r="AK90" t="s">
        <v>66</v>
      </c>
      <c r="AL90" t="s">
        <v>66</v>
      </c>
      <c r="AM90" s="2" t="str">
        <f>HYPERLINK("https://transparencia.cidesi.mx/comprobantes/2021/CQ2100662 /C13FACTURA_oriente_522164_MTA900528FIA_18-agosto-2021.pdf")</f>
        <v>https://transparencia.cidesi.mx/comprobantes/2021/CQ2100662 /C13FACTURA_oriente_522164_MTA900528FIA_18-agosto-2021.pdf</v>
      </c>
      <c r="AN90" t="str">
        <f>HYPERLINK("https://transparencia.cidesi.mx/comprobantes/2021/CQ2100662 /C13FACTURA_oriente_522164_MTA900528FIA_18-agosto-2021.pdf")</f>
        <v>https://transparencia.cidesi.mx/comprobantes/2021/CQ2100662 /C13FACTURA_oriente_522164_MTA900528FIA_18-agosto-2021.pdf</v>
      </c>
      <c r="AO90" t="str">
        <f>HYPERLINK("https://transparencia.cidesi.mx/comprobantes/2021/CQ2100662 /C13FACTURA_oriente_522164_MTA900528FIA_18-agosto-2021.xml")</f>
        <v>https://transparencia.cidesi.mx/comprobantes/2021/CQ2100662 /C13FACTURA_oriente_522164_MTA900528FIA_18-agosto-2021.xml</v>
      </c>
      <c r="AP90" t="s">
        <v>358</v>
      </c>
      <c r="AQ90" t="s">
        <v>359</v>
      </c>
      <c r="AR90" t="s">
        <v>360</v>
      </c>
      <c r="AS90" t="s">
        <v>361</v>
      </c>
      <c r="AT90" s="1">
        <v>44428</v>
      </c>
      <c r="AU90" s="1">
        <v>44432</v>
      </c>
    </row>
    <row r="91" spans="1:47" x14ac:dyDescent="0.3">
      <c r="A91" t="s">
        <v>47</v>
      </c>
      <c r="B91" t="s">
        <v>48</v>
      </c>
      <c r="C91" t="s">
        <v>49</v>
      </c>
      <c r="D91">
        <v>377</v>
      </c>
      <c r="E91" t="s">
        <v>350</v>
      </c>
      <c r="F91" t="s">
        <v>351</v>
      </c>
      <c r="G91" t="s">
        <v>352</v>
      </c>
      <c r="H91" t="s">
        <v>353</v>
      </c>
      <c r="I91" t="s">
        <v>54</v>
      </c>
      <c r="J91" t="s">
        <v>354</v>
      </c>
      <c r="K91" t="s">
        <v>56</v>
      </c>
      <c r="L91">
        <v>0</v>
      </c>
      <c r="M91" t="s">
        <v>73</v>
      </c>
      <c r="N91">
        <v>0</v>
      </c>
      <c r="O91" t="s">
        <v>58</v>
      </c>
      <c r="P91" t="s">
        <v>59</v>
      </c>
      <c r="Q91" t="s">
        <v>355</v>
      </c>
      <c r="R91" t="s">
        <v>354</v>
      </c>
      <c r="S91" s="1">
        <v>44417</v>
      </c>
      <c r="T91" s="1">
        <v>44422</v>
      </c>
      <c r="U91">
        <v>37501</v>
      </c>
      <c r="V91" t="s">
        <v>94</v>
      </c>
      <c r="W91" t="s">
        <v>356</v>
      </c>
      <c r="X91" s="1">
        <v>44425</v>
      </c>
      <c r="Y91" t="s">
        <v>63</v>
      </c>
      <c r="Z91">
        <v>112.93</v>
      </c>
      <c r="AA91">
        <v>16</v>
      </c>
      <c r="AB91">
        <v>18.07</v>
      </c>
      <c r="AC91">
        <v>0</v>
      </c>
      <c r="AD91">
        <v>131</v>
      </c>
      <c r="AE91">
        <v>5237.74</v>
      </c>
      <c r="AF91">
        <v>6000</v>
      </c>
      <c r="AG91" t="s">
        <v>363</v>
      </c>
      <c r="AH91" t="s">
        <v>66</v>
      </c>
      <c r="AI91" t="s">
        <v>65</v>
      </c>
      <c r="AJ91" t="s">
        <v>66</v>
      </c>
      <c r="AK91" t="s">
        <v>66</v>
      </c>
      <c r="AL91" t="s">
        <v>66</v>
      </c>
      <c r="AM91" s="2" t="str">
        <f>HYPERLINK("https://transparencia.cidesi.mx/comprobantes/2021/CQ2100662 /C14dfadb091-f4bb-4dde-af7d-e41e88c40ffb.pdf")</f>
        <v>https://transparencia.cidesi.mx/comprobantes/2021/CQ2100662 /C14dfadb091-f4bb-4dde-af7d-e41e88c40ffb.pdf</v>
      </c>
      <c r="AN91" t="str">
        <f>HYPERLINK("https://transparencia.cidesi.mx/comprobantes/2021/CQ2100662 /C14dfadb091-f4bb-4dde-af7d-e41e88c40ffb.pdf")</f>
        <v>https://transparencia.cidesi.mx/comprobantes/2021/CQ2100662 /C14dfadb091-f4bb-4dde-af7d-e41e88c40ffb.pdf</v>
      </c>
      <c r="AO91" t="str">
        <f>HYPERLINK("https://transparencia.cidesi.mx/comprobantes/2021/CQ2100662 /C14dfadb091-f4bb-4dde.xml")</f>
        <v>https://transparencia.cidesi.mx/comprobantes/2021/CQ2100662 /C14dfadb091-f4bb-4dde.xml</v>
      </c>
      <c r="AP91" t="s">
        <v>358</v>
      </c>
      <c r="AQ91" t="s">
        <v>359</v>
      </c>
      <c r="AR91" t="s">
        <v>360</v>
      </c>
      <c r="AS91" t="s">
        <v>361</v>
      </c>
      <c r="AT91" s="1">
        <v>44428</v>
      </c>
      <c r="AU91" s="1">
        <v>44432</v>
      </c>
    </row>
    <row r="92" spans="1:47" x14ac:dyDescent="0.3">
      <c r="A92" t="s">
        <v>47</v>
      </c>
      <c r="B92" t="s">
        <v>48</v>
      </c>
      <c r="C92" t="s">
        <v>49</v>
      </c>
      <c r="D92">
        <v>377</v>
      </c>
      <c r="E92" t="s">
        <v>350</v>
      </c>
      <c r="F92" t="s">
        <v>351</v>
      </c>
      <c r="G92" t="s">
        <v>352</v>
      </c>
      <c r="H92" t="s">
        <v>364</v>
      </c>
      <c r="I92" t="s">
        <v>54</v>
      </c>
      <c r="J92" t="s">
        <v>365</v>
      </c>
      <c r="K92" t="s">
        <v>56</v>
      </c>
      <c r="L92">
        <v>0</v>
      </c>
      <c r="M92" t="s">
        <v>73</v>
      </c>
      <c r="N92">
        <v>0</v>
      </c>
      <c r="O92" t="s">
        <v>58</v>
      </c>
      <c r="P92" t="s">
        <v>59</v>
      </c>
      <c r="Q92" t="s">
        <v>60</v>
      </c>
      <c r="R92" t="s">
        <v>365</v>
      </c>
      <c r="S92" s="1">
        <v>44466</v>
      </c>
      <c r="T92" s="1">
        <v>44466</v>
      </c>
      <c r="U92">
        <v>37501</v>
      </c>
      <c r="V92" t="s">
        <v>61</v>
      </c>
      <c r="W92" t="s">
        <v>366</v>
      </c>
      <c r="X92" s="1">
        <v>44467</v>
      </c>
      <c r="Y92" t="s">
        <v>63</v>
      </c>
      <c r="Z92">
        <v>228.45</v>
      </c>
      <c r="AA92">
        <v>16</v>
      </c>
      <c r="AB92">
        <v>36.549999999999997</v>
      </c>
      <c r="AC92">
        <v>0</v>
      </c>
      <c r="AD92">
        <v>265</v>
      </c>
      <c r="AE92">
        <v>265</v>
      </c>
      <c r="AF92">
        <v>545</v>
      </c>
      <c r="AG92" t="s">
        <v>357</v>
      </c>
      <c r="AH92" t="s">
        <v>65</v>
      </c>
      <c r="AI92" t="s">
        <v>65</v>
      </c>
      <c r="AJ92" t="s">
        <v>66</v>
      </c>
      <c r="AK92" t="s">
        <v>66</v>
      </c>
      <c r="AL92" t="s">
        <v>66</v>
      </c>
      <c r="AM92" s="2" t="str">
        <f>HYPERLINK("https://transparencia.cidesi.mx/comprobantes/2021/CQ2100903 /C1171713 - srlstk-ecm - sirloin-stockade-paseo-ventura - 2021-09-28T15_21_28.481277+00_00.pdf")</f>
        <v>https://transparencia.cidesi.mx/comprobantes/2021/CQ2100903 /C1171713 - srlstk-ecm - sirloin-stockade-paseo-ventura - 2021-09-28T15_21_28.481277+00_00.pdf</v>
      </c>
      <c r="AN92" t="str">
        <f>HYPERLINK("https://transparencia.cidesi.mx/comprobantes/2021/CQ2100903 /C1171713 - srlstk-ecm - sirloin-stockade-paseo-ventura - 2021-09-28T15_21_28.481277+00_00.pdf")</f>
        <v>https://transparencia.cidesi.mx/comprobantes/2021/CQ2100903 /C1171713 - srlstk-ecm - sirloin-stockade-paseo-ventura - 2021-09-28T15_21_28.481277+00_00.pdf</v>
      </c>
      <c r="AO92" t="s">
        <v>73</v>
      </c>
      <c r="AP92" t="s">
        <v>367</v>
      </c>
      <c r="AQ92" t="s">
        <v>368</v>
      </c>
      <c r="AR92" t="s">
        <v>369</v>
      </c>
      <c r="AS92" t="s">
        <v>370</v>
      </c>
      <c r="AT92" s="1">
        <v>44470</v>
      </c>
      <c r="AU92" s="1">
        <v>44470</v>
      </c>
    </row>
    <row r="93" spans="1:47" x14ac:dyDescent="0.3">
      <c r="A93" t="s">
        <v>371</v>
      </c>
      <c r="B93" t="s">
        <v>224</v>
      </c>
      <c r="C93" t="s">
        <v>372</v>
      </c>
      <c r="D93">
        <v>379</v>
      </c>
      <c r="E93" t="s">
        <v>373</v>
      </c>
      <c r="F93" t="s">
        <v>374</v>
      </c>
      <c r="G93" t="s">
        <v>375</v>
      </c>
      <c r="H93" t="s">
        <v>376</v>
      </c>
      <c r="I93" t="s">
        <v>54</v>
      </c>
      <c r="J93" t="s">
        <v>377</v>
      </c>
      <c r="K93" t="s">
        <v>56</v>
      </c>
      <c r="L93">
        <v>0</v>
      </c>
      <c r="M93" t="s">
        <v>73</v>
      </c>
      <c r="N93">
        <v>0</v>
      </c>
      <c r="O93" t="s">
        <v>58</v>
      </c>
      <c r="P93" t="s">
        <v>59</v>
      </c>
      <c r="Q93" t="s">
        <v>378</v>
      </c>
      <c r="R93" t="s">
        <v>377</v>
      </c>
      <c r="S93" s="1">
        <v>44424</v>
      </c>
      <c r="T93" s="1">
        <v>44424</v>
      </c>
      <c r="U93">
        <v>37501</v>
      </c>
      <c r="V93" t="s">
        <v>61</v>
      </c>
      <c r="W93" t="s">
        <v>379</v>
      </c>
      <c r="X93" s="1">
        <v>44427</v>
      </c>
      <c r="Y93" t="s">
        <v>63</v>
      </c>
      <c r="Z93">
        <v>475.86</v>
      </c>
      <c r="AA93">
        <v>16</v>
      </c>
      <c r="AB93">
        <v>76.14</v>
      </c>
      <c r="AC93">
        <v>55</v>
      </c>
      <c r="AD93">
        <v>607</v>
      </c>
      <c r="AE93">
        <v>701</v>
      </c>
      <c r="AF93">
        <v>783</v>
      </c>
      <c r="AG93" t="s">
        <v>380</v>
      </c>
      <c r="AH93" t="s">
        <v>65</v>
      </c>
      <c r="AI93" t="s">
        <v>65</v>
      </c>
      <c r="AJ93" t="s">
        <v>66</v>
      </c>
      <c r="AK93" t="s">
        <v>66</v>
      </c>
      <c r="AL93" t="s">
        <v>66</v>
      </c>
      <c r="AM93" s="2" t="str">
        <f>HYPERLINK("https://transparencia.cidesi.mx/comprobantes/2021/CQ2100668 /C1CSLS296277_NDG071019LH4.pdf")</f>
        <v>https://transparencia.cidesi.mx/comprobantes/2021/CQ2100668 /C1CSLS296277_NDG071019LH4.pdf</v>
      </c>
      <c r="AN93" t="str">
        <f>HYPERLINK("https://transparencia.cidesi.mx/comprobantes/2021/CQ2100668 /C1CSLS296277_NDG071019LH4.pdf")</f>
        <v>https://transparencia.cidesi.mx/comprobantes/2021/CQ2100668 /C1CSLS296277_NDG071019LH4.pdf</v>
      </c>
      <c r="AO93" t="str">
        <f>HYPERLINK("https://transparencia.cidesi.mx/comprobantes/2021/CQ2100668 /C1CSLS296277_NDG071019LH4.xml")</f>
        <v>https://transparencia.cidesi.mx/comprobantes/2021/CQ2100668 /C1CSLS296277_NDG071019LH4.xml</v>
      </c>
      <c r="AP93" t="s">
        <v>381</v>
      </c>
      <c r="AQ93" t="s">
        <v>382</v>
      </c>
      <c r="AR93" t="s">
        <v>383</v>
      </c>
      <c r="AS93" t="s">
        <v>384</v>
      </c>
      <c r="AT93" s="1">
        <v>44435</v>
      </c>
      <c r="AU93" s="1">
        <v>44438</v>
      </c>
    </row>
    <row r="94" spans="1:47" x14ac:dyDescent="0.3">
      <c r="A94" t="s">
        <v>371</v>
      </c>
      <c r="B94" t="s">
        <v>224</v>
      </c>
      <c r="C94" t="s">
        <v>372</v>
      </c>
      <c r="D94">
        <v>379</v>
      </c>
      <c r="E94" t="s">
        <v>373</v>
      </c>
      <c r="F94" t="s">
        <v>374</v>
      </c>
      <c r="G94" t="s">
        <v>375</v>
      </c>
      <c r="H94" t="s">
        <v>376</v>
      </c>
      <c r="I94" t="s">
        <v>54</v>
      </c>
      <c r="J94" t="s">
        <v>377</v>
      </c>
      <c r="K94" t="s">
        <v>56</v>
      </c>
      <c r="L94">
        <v>0</v>
      </c>
      <c r="M94" t="s">
        <v>73</v>
      </c>
      <c r="N94">
        <v>0</v>
      </c>
      <c r="O94" t="s">
        <v>58</v>
      </c>
      <c r="P94" t="s">
        <v>59</v>
      </c>
      <c r="Q94" t="s">
        <v>378</v>
      </c>
      <c r="R94" t="s">
        <v>377</v>
      </c>
      <c r="S94" s="1">
        <v>44424</v>
      </c>
      <c r="T94" s="1">
        <v>44424</v>
      </c>
      <c r="U94">
        <v>37501</v>
      </c>
      <c r="V94" t="s">
        <v>61</v>
      </c>
      <c r="W94" t="s">
        <v>379</v>
      </c>
      <c r="X94" s="1">
        <v>44427</v>
      </c>
      <c r="Y94" t="s">
        <v>63</v>
      </c>
      <c r="Z94">
        <v>90.96</v>
      </c>
      <c r="AA94">
        <v>16</v>
      </c>
      <c r="AB94">
        <v>3.04</v>
      </c>
      <c r="AC94">
        <v>0</v>
      </c>
      <c r="AD94">
        <v>94</v>
      </c>
      <c r="AE94">
        <v>701</v>
      </c>
      <c r="AF94">
        <v>783</v>
      </c>
      <c r="AG94" t="s">
        <v>380</v>
      </c>
      <c r="AH94" t="s">
        <v>66</v>
      </c>
      <c r="AI94" t="s">
        <v>65</v>
      </c>
      <c r="AJ94" t="s">
        <v>66</v>
      </c>
      <c r="AK94" t="s">
        <v>66</v>
      </c>
      <c r="AL94" t="s">
        <v>66</v>
      </c>
      <c r="AM94" s="2" t="str">
        <f>HYPERLINK("https://transparencia.cidesi.mx/comprobantes/2021/CQ2100668 /C2NOV1609299TA_Factura_ST9107_20210816.pdf")</f>
        <v>https://transparencia.cidesi.mx/comprobantes/2021/CQ2100668 /C2NOV1609299TA_Factura_ST9107_20210816.pdf</v>
      </c>
      <c r="AN94" t="str">
        <f>HYPERLINK("https://transparencia.cidesi.mx/comprobantes/2021/CQ2100668 /C2NOV1609299TA_Factura_ST9107_20210816.pdf")</f>
        <v>https://transparencia.cidesi.mx/comprobantes/2021/CQ2100668 /C2NOV1609299TA_Factura_ST9107_20210816.pdf</v>
      </c>
      <c r="AO94" t="str">
        <f>HYPERLINK("https://transparencia.cidesi.mx/comprobantes/2021/CQ2100668 /C2NOV1609299TA_Factura_ST9107_20210816.xml")</f>
        <v>https://transparencia.cidesi.mx/comprobantes/2021/CQ2100668 /C2NOV1609299TA_Factura_ST9107_20210816.xml</v>
      </c>
      <c r="AP94" t="s">
        <v>381</v>
      </c>
      <c r="AQ94" t="s">
        <v>382</v>
      </c>
      <c r="AR94" t="s">
        <v>383</v>
      </c>
      <c r="AS94" t="s">
        <v>384</v>
      </c>
      <c r="AT94" s="1">
        <v>44435</v>
      </c>
      <c r="AU94" s="1">
        <v>44438</v>
      </c>
    </row>
    <row r="95" spans="1:47" x14ac:dyDescent="0.3">
      <c r="A95" t="s">
        <v>371</v>
      </c>
      <c r="B95" t="s">
        <v>224</v>
      </c>
      <c r="C95" t="s">
        <v>372</v>
      </c>
      <c r="D95">
        <v>379</v>
      </c>
      <c r="E95" t="s">
        <v>373</v>
      </c>
      <c r="F95" t="s">
        <v>374</v>
      </c>
      <c r="G95" t="s">
        <v>375</v>
      </c>
      <c r="H95" t="s">
        <v>385</v>
      </c>
      <c r="I95" t="s">
        <v>54</v>
      </c>
      <c r="J95" t="s">
        <v>386</v>
      </c>
      <c r="K95" t="s">
        <v>56</v>
      </c>
      <c r="L95">
        <v>0</v>
      </c>
      <c r="M95" t="s">
        <v>73</v>
      </c>
      <c r="N95">
        <v>0</v>
      </c>
      <c r="O95" t="s">
        <v>58</v>
      </c>
      <c r="P95" t="s">
        <v>59</v>
      </c>
      <c r="Q95" t="s">
        <v>378</v>
      </c>
      <c r="R95" t="s">
        <v>386</v>
      </c>
      <c r="S95" s="1">
        <v>44468</v>
      </c>
      <c r="T95" s="1">
        <v>44468</v>
      </c>
      <c r="U95">
        <v>37501</v>
      </c>
      <c r="V95" t="s">
        <v>61</v>
      </c>
      <c r="W95" t="s">
        <v>387</v>
      </c>
      <c r="X95" s="1">
        <v>44474</v>
      </c>
      <c r="Y95" t="s">
        <v>207</v>
      </c>
      <c r="Z95">
        <v>333.28</v>
      </c>
      <c r="AA95">
        <v>16</v>
      </c>
      <c r="AB95">
        <v>59.72</v>
      </c>
      <c r="AC95">
        <v>40</v>
      </c>
      <c r="AD95">
        <v>433</v>
      </c>
      <c r="AE95">
        <v>433</v>
      </c>
      <c r="AF95">
        <v>783</v>
      </c>
      <c r="AG95" t="s">
        <v>380</v>
      </c>
      <c r="AH95" t="s">
        <v>65</v>
      </c>
      <c r="AI95" t="s">
        <v>65</v>
      </c>
      <c r="AJ95" t="s">
        <v>66</v>
      </c>
      <c r="AK95" t="s">
        <v>66</v>
      </c>
      <c r="AL95" t="s">
        <v>66</v>
      </c>
      <c r="AM95" s="2" t="str">
        <f>HYPERLINK("https://transparencia.cidesi.mx/comprobantes/2021/CQ2100944 /C1FA0000020210.pdf")</f>
        <v>https://transparencia.cidesi.mx/comprobantes/2021/CQ2100944 /C1FA0000020210.pdf</v>
      </c>
      <c r="AN95" t="str">
        <f>HYPERLINK("https://transparencia.cidesi.mx/comprobantes/2021/CQ2100944 /C1FA0000020210.pdf")</f>
        <v>https://transparencia.cidesi.mx/comprobantes/2021/CQ2100944 /C1FA0000020210.pdf</v>
      </c>
      <c r="AO95" t="str">
        <f>HYPERLINK("https://transparencia.cidesi.mx/comprobantes/2021/CQ2100944 /C1FA0000020210.xml")</f>
        <v>https://transparencia.cidesi.mx/comprobantes/2021/CQ2100944 /C1FA0000020210.xml</v>
      </c>
      <c r="AP95" t="s">
        <v>388</v>
      </c>
      <c r="AQ95" t="s">
        <v>389</v>
      </c>
      <c r="AR95" t="s">
        <v>390</v>
      </c>
      <c r="AS95" t="s">
        <v>391</v>
      </c>
      <c r="AT95" s="1">
        <v>44476</v>
      </c>
      <c r="AU95" t="s">
        <v>73</v>
      </c>
    </row>
    <row r="96" spans="1:47" x14ac:dyDescent="0.3">
      <c r="A96" t="s">
        <v>47</v>
      </c>
      <c r="B96" t="s">
        <v>48</v>
      </c>
      <c r="C96" t="s">
        <v>392</v>
      </c>
      <c r="D96">
        <v>385</v>
      </c>
      <c r="E96" t="s">
        <v>393</v>
      </c>
      <c r="F96" t="s">
        <v>394</v>
      </c>
      <c r="G96" t="s">
        <v>395</v>
      </c>
      <c r="H96" t="s">
        <v>396</v>
      </c>
      <c r="I96" t="s">
        <v>54</v>
      </c>
      <c r="J96" t="s">
        <v>397</v>
      </c>
      <c r="K96" t="s">
        <v>56</v>
      </c>
      <c r="L96">
        <v>0</v>
      </c>
      <c r="M96" t="s">
        <v>73</v>
      </c>
      <c r="N96">
        <v>0</v>
      </c>
      <c r="O96" t="s">
        <v>58</v>
      </c>
      <c r="P96" t="s">
        <v>59</v>
      </c>
      <c r="Q96" t="s">
        <v>216</v>
      </c>
      <c r="R96" t="s">
        <v>397</v>
      </c>
      <c r="S96" s="1">
        <v>44463</v>
      </c>
      <c r="T96" s="1">
        <v>44463</v>
      </c>
      <c r="U96">
        <v>37501</v>
      </c>
      <c r="V96" t="s">
        <v>61</v>
      </c>
      <c r="W96" t="s">
        <v>398</v>
      </c>
      <c r="X96" s="1">
        <v>44468</v>
      </c>
      <c r="Y96" t="s">
        <v>63</v>
      </c>
      <c r="Z96">
        <v>335.78</v>
      </c>
      <c r="AA96">
        <v>160</v>
      </c>
      <c r="AB96">
        <v>53.72</v>
      </c>
      <c r="AC96">
        <v>38.950000000000003</v>
      </c>
      <c r="AD96">
        <v>428.45</v>
      </c>
      <c r="AE96">
        <v>428.45</v>
      </c>
      <c r="AF96">
        <v>545</v>
      </c>
      <c r="AG96" t="s">
        <v>399</v>
      </c>
      <c r="AH96" t="s">
        <v>65</v>
      </c>
      <c r="AI96" t="s">
        <v>65</v>
      </c>
      <c r="AJ96" t="s">
        <v>66</v>
      </c>
      <c r="AK96" t="s">
        <v>66</v>
      </c>
      <c r="AL96" t="s">
        <v>66</v>
      </c>
      <c r="AM96" s="2" t="str">
        <f>HYPERLINK("https://transparencia.cidesi.mx/comprobantes/2021/CQ2100913 /C1CID840309UG7F0000006915.pdf")</f>
        <v>https://transparencia.cidesi.mx/comprobantes/2021/CQ2100913 /C1CID840309UG7F0000006915.pdf</v>
      </c>
      <c r="AN96" t="str">
        <f>HYPERLINK("https://transparencia.cidesi.mx/comprobantes/2021/CQ2100913 /C1CID840309UG7F0000006915.pdf")</f>
        <v>https://transparencia.cidesi.mx/comprobantes/2021/CQ2100913 /C1CID840309UG7F0000006915.pdf</v>
      </c>
      <c r="AO96" t="str">
        <f>HYPERLINK("https://transparencia.cidesi.mx/comprobantes/2021/CQ2100913 /C1CID840309UG7F0000006915.xml")</f>
        <v>https://transparencia.cidesi.mx/comprobantes/2021/CQ2100913 /C1CID840309UG7F0000006915.xml</v>
      </c>
      <c r="AP96" t="s">
        <v>397</v>
      </c>
      <c r="AQ96" t="s">
        <v>400</v>
      </c>
      <c r="AR96" t="s">
        <v>401</v>
      </c>
      <c r="AS96" t="s">
        <v>402</v>
      </c>
      <c r="AT96" s="1">
        <v>44469</v>
      </c>
      <c r="AU96" s="1">
        <v>44470</v>
      </c>
    </row>
    <row r="97" spans="1:47" x14ac:dyDescent="0.3">
      <c r="A97" t="s">
        <v>246</v>
      </c>
      <c r="B97" t="s">
        <v>182</v>
      </c>
      <c r="C97" t="s">
        <v>183</v>
      </c>
      <c r="D97">
        <v>392</v>
      </c>
      <c r="E97" t="s">
        <v>403</v>
      </c>
      <c r="F97" t="s">
        <v>404</v>
      </c>
      <c r="G97" t="s">
        <v>405</v>
      </c>
      <c r="H97" t="s">
        <v>406</v>
      </c>
      <c r="I97" t="s">
        <v>54</v>
      </c>
      <c r="J97" t="s">
        <v>407</v>
      </c>
      <c r="K97" t="s">
        <v>56</v>
      </c>
      <c r="L97">
        <v>0</v>
      </c>
      <c r="M97" t="s">
        <v>73</v>
      </c>
      <c r="N97">
        <v>0</v>
      </c>
      <c r="O97" t="s">
        <v>58</v>
      </c>
      <c r="P97" t="s">
        <v>59</v>
      </c>
      <c r="Q97" t="s">
        <v>408</v>
      </c>
      <c r="R97" t="s">
        <v>407</v>
      </c>
      <c r="S97" s="1">
        <v>44404</v>
      </c>
      <c r="T97" s="1">
        <v>44407</v>
      </c>
      <c r="U97">
        <v>37501</v>
      </c>
      <c r="V97" t="s">
        <v>104</v>
      </c>
      <c r="W97" t="s">
        <v>409</v>
      </c>
      <c r="X97" s="1">
        <v>44411</v>
      </c>
      <c r="Y97" t="s">
        <v>100</v>
      </c>
      <c r="Z97">
        <v>692.44</v>
      </c>
      <c r="AA97">
        <v>16</v>
      </c>
      <c r="AB97">
        <v>107.56</v>
      </c>
      <c r="AC97">
        <v>0</v>
      </c>
      <c r="AD97">
        <v>800</v>
      </c>
      <c r="AE97">
        <v>6161.4</v>
      </c>
      <c r="AF97">
        <v>3818</v>
      </c>
      <c r="AG97" t="s">
        <v>410</v>
      </c>
      <c r="AH97" t="s">
        <v>65</v>
      </c>
      <c r="AI97" t="s">
        <v>65</v>
      </c>
      <c r="AJ97" t="s">
        <v>66</v>
      </c>
      <c r="AK97" t="s">
        <v>66</v>
      </c>
      <c r="AL97" t="s">
        <v>66</v>
      </c>
      <c r="AM97" s="2" t="str">
        <f>HYPERLINK("https://transparencia.cidesi.mx/comprobantes/2021/CQ2100597 /C130C397EC-4664-4888-807A-D08FF5EC9B97.pdf")</f>
        <v>https://transparencia.cidesi.mx/comprobantes/2021/CQ2100597 /C130C397EC-4664-4888-807A-D08FF5EC9B97.pdf</v>
      </c>
      <c r="AN97" t="str">
        <f>HYPERLINK("https://transparencia.cidesi.mx/comprobantes/2021/CQ2100597 /C130C397EC-4664-4888-807A-D08FF5EC9B97.pdf")</f>
        <v>https://transparencia.cidesi.mx/comprobantes/2021/CQ2100597 /C130C397EC-4664-4888-807A-D08FF5EC9B97.pdf</v>
      </c>
      <c r="AO97" t="str">
        <f>HYPERLINK("https://transparencia.cidesi.mx/comprobantes/2021/CQ2100597 /C130C397EC-4664-4888-807A-D08FF5EC9B97.xml")</f>
        <v>https://transparencia.cidesi.mx/comprobantes/2021/CQ2100597 /C130C397EC-4664-4888-807A-D08FF5EC9B97.xml</v>
      </c>
      <c r="AP97" t="s">
        <v>411</v>
      </c>
      <c r="AQ97" t="s">
        <v>412</v>
      </c>
      <c r="AR97" t="s">
        <v>413</v>
      </c>
      <c r="AS97" t="s">
        <v>414</v>
      </c>
      <c r="AT97" s="1">
        <v>44412</v>
      </c>
      <c r="AU97" t="s">
        <v>73</v>
      </c>
    </row>
    <row r="98" spans="1:47" x14ac:dyDescent="0.3">
      <c r="A98" t="s">
        <v>246</v>
      </c>
      <c r="B98" t="s">
        <v>182</v>
      </c>
      <c r="C98" t="s">
        <v>183</v>
      </c>
      <c r="D98">
        <v>392</v>
      </c>
      <c r="E98" t="s">
        <v>403</v>
      </c>
      <c r="F98" t="s">
        <v>404</v>
      </c>
      <c r="G98" t="s">
        <v>405</v>
      </c>
      <c r="H98" t="s">
        <v>406</v>
      </c>
      <c r="I98" t="s">
        <v>54</v>
      </c>
      <c r="J98" t="s">
        <v>407</v>
      </c>
      <c r="K98" t="s">
        <v>56</v>
      </c>
      <c r="L98">
        <v>0</v>
      </c>
      <c r="M98" t="s">
        <v>73</v>
      </c>
      <c r="N98">
        <v>0</v>
      </c>
      <c r="O98" t="s">
        <v>58</v>
      </c>
      <c r="P98" t="s">
        <v>59</v>
      </c>
      <c r="Q98" t="s">
        <v>408</v>
      </c>
      <c r="R98" t="s">
        <v>407</v>
      </c>
      <c r="S98" s="1">
        <v>44404</v>
      </c>
      <c r="T98" s="1">
        <v>44407</v>
      </c>
      <c r="U98">
        <v>37501</v>
      </c>
      <c r="V98" t="s">
        <v>61</v>
      </c>
      <c r="W98" t="s">
        <v>409</v>
      </c>
      <c r="X98" s="1">
        <v>44411</v>
      </c>
      <c r="Y98" t="s">
        <v>100</v>
      </c>
      <c r="Z98">
        <v>237.07</v>
      </c>
      <c r="AA98">
        <v>16</v>
      </c>
      <c r="AB98">
        <v>37.93</v>
      </c>
      <c r="AC98">
        <v>27.5</v>
      </c>
      <c r="AD98">
        <v>302.5</v>
      </c>
      <c r="AE98">
        <v>6161.4</v>
      </c>
      <c r="AF98">
        <v>3818</v>
      </c>
      <c r="AG98" t="s">
        <v>415</v>
      </c>
      <c r="AH98" t="s">
        <v>65</v>
      </c>
      <c r="AI98" t="s">
        <v>65</v>
      </c>
      <c r="AJ98" t="s">
        <v>66</v>
      </c>
      <c r="AK98" t="s">
        <v>66</v>
      </c>
      <c r="AL98" t="s">
        <v>66</v>
      </c>
      <c r="AM98" s="2" t="str">
        <f>HYPERLINK("https://transparencia.cidesi.mx/comprobantes/2021/CQ2100597 /C216862C.pdf")</f>
        <v>https://transparencia.cidesi.mx/comprobantes/2021/CQ2100597 /C216862C.pdf</v>
      </c>
      <c r="AN98" t="str">
        <f>HYPERLINK("https://transparencia.cidesi.mx/comprobantes/2021/CQ2100597 /C216862C.pdf")</f>
        <v>https://transparencia.cidesi.mx/comprobantes/2021/CQ2100597 /C216862C.pdf</v>
      </c>
      <c r="AO98" t="str">
        <f>HYPERLINK("https://transparencia.cidesi.mx/comprobantes/2021/CQ2100597 /C216862C.xml")</f>
        <v>https://transparencia.cidesi.mx/comprobantes/2021/CQ2100597 /C216862C.xml</v>
      </c>
      <c r="AP98" t="s">
        <v>411</v>
      </c>
      <c r="AQ98" t="s">
        <v>412</v>
      </c>
      <c r="AR98" t="s">
        <v>413</v>
      </c>
      <c r="AS98" t="s">
        <v>414</v>
      </c>
      <c r="AT98" s="1">
        <v>44412</v>
      </c>
      <c r="AU98" t="s">
        <v>73</v>
      </c>
    </row>
    <row r="99" spans="1:47" x14ac:dyDescent="0.3">
      <c r="A99" t="s">
        <v>246</v>
      </c>
      <c r="B99" t="s">
        <v>182</v>
      </c>
      <c r="C99" t="s">
        <v>183</v>
      </c>
      <c r="D99">
        <v>392</v>
      </c>
      <c r="E99" t="s">
        <v>403</v>
      </c>
      <c r="F99" t="s">
        <v>404</v>
      </c>
      <c r="G99" t="s">
        <v>405</v>
      </c>
      <c r="H99" t="s">
        <v>406</v>
      </c>
      <c r="I99" t="s">
        <v>54</v>
      </c>
      <c r="J99" t="s">
        <v>407</v>
      </c>
      <c r="K99" t="s">
        <v>56</v>
      </c>
      <c r="L99">
        <v>0</v>
      </c>
      <c r="M99" t="s">
        <v>73</v>
      </c>
      <c r="N99">
        <v>0</v>
      </c>
      <c r="O99" t="s">
        <v>58</v>
      </c>
      <c r="P99" t="s">
        <v>59</v>
      </c>
      <c r="Q99" t="s">
        <v>408</v>
      </c>
      <c r="R99" t="s">
        <v>407</v>
      </c>
      <c r="S99" s="1">
        <v>44404</v>
      </c>
      <c r="T99" s="1">
        <v>44407</v>
      </c>
      <c r="U99">
        <v>37501</v>
      </c>
      <c r="V99" t="s">
        <v>61</v>
      </c>
      <c r="W99" t="s">
        <v>409</v>
      </c>
      <c r="X99" s="1">
        <v>44411</v>
      </c>
      <c r="Y99" t="s">
        <v>100</v>
      </c>
      <c r="Z99">
        <v>223.28</v>
      </c>
      <c r="AA99">
        <v>16</v>
      </c>
      <c r="AB99">
        <v>35.72</v>
      </c>
      <c r="AC99">
        <v>25.9</v>
      </c>
      <c r="AD99">
        <v>284.89999999999998</v>
      </c>
      <c r="AE99">
        <v>6161.4</v>
      </c>
      <c r="AF99">
        <v>3818</v>
      </c>
      <c r="AG99" t="s">
        <v>415</v>
      </c>
      <c r="AH99" t="s">
        <v>65</v>
      </c>
      <c r="AI99" t="s">
        <v>65</v>
      </c>
      <c r="AJ99" t="s">
        <v>66</v>
      </c>
      <c r="AK99" t="s">
        <v>66</v>
      </c>
      <c r="AL99" t="s">
        <v>66</v>
      </c>
      <c r="AM99" s="2" t="str">
        <f>HYPERLINK("https://transparencia.cidesi.mx/comprobantes/2021/CQ2100597 /C3fc16871C.pdf")</f>
        <v>https://transparencia.cidesi.mx/comprobantes/2021/CQ2100597 /C3fc16871C.pdf</v>
      </c>
      <c r="AN99" t="str">
        <f>HYPERLINK("https://transparencia.cidesi.mx/comprobantes/2021/CQ2100597 /C3fc16871C.pdf")</f>
        <v>https://transparencia.cidesi.mx/comprobantes/2021/CQ2100597 /C3fc16871C.pdf</v>
      </c>
      <c r="AO99" t="str">
        <f>HYPERLINK("https://transparencia.cidesi.mx/comprobantes/2021/CQ2100597 /C316871C_xml.xml")</f>
        <v>https://transparencia.cidesi.mx/comprobantes/2021/CQ2100597 /C316871C_xml.xml</v>
      </c>
      <c r="AP99" t="s">
        <v>411</v>
      </c>
      <c r="AQ99" t="s">
        <v>412</v>
      </c>
      <c r="AR99" t="s">
        <v>413</v>
      </c>
      <c r="AS99" t="s">
        <v>414</v>
      </c>
      <c r="AT99" s="1">
        <v>44412</v>
      </c>
      <c r="AU99" t="s">
        <v>73</v>
      </c>
    </row>
    <row r="100" spans="1:47" x14ac:dyDescent="0.3">
      <c r="A100" t="s">
        <v>246</v>
      </c>
      <c r="B100" t="s">
        <v>182</v>
      </c>
      <c r="C100" t="s">
        <v>183</v>
      </c>
      <c r="D100">
        <v>392</v>
      </c>
      <c r="E100" t="s">
        <v>403</v>
      </c>
      <c r="F100" t="s">
        <v>404</v>
      </c>
      <c r="G100" t="s">
        <v>405</v>
      </c>
      <c r="H100" t="s">
        <v>406</v>
      </c>
      <c r="I100" t="s">
        <v>54</v>
      </c>
      <c r="J100" t="s">
        <v>407</v>
      </c>
      <c r="K100" t="s">
        <v>56</v>
      </c>
      <c r="L100">
        <v>0</v>
      </c>
      <c r="M100" t="s">
        <v>73</v>
      </c>
      <c r="N100">
        <v>0</v>
      </c>
      <c r="O100" t="s">
        <v>58</v>
      </c>
      <c r="P100" t="s">
        <v>59</v>
      </c>
      <c r="Q100" t="s">
        <v>408</v>
      </c>
      <c r="R100" t="s">
        <v>407</v>
      </c>
      <c r="S100" s="1">
        <v>44404</v>
      </c>
      <c r="T100" s="1">
        <v>44407</v>
      </c>
      <c r="U100">
        <v>37501</v>
      </c>
      <c r="V100" t="s">
        <v>104</v>
      </c>
      <c r="W100" t="s">
        <v>409</v>
      </c>
      <c r="X100" s="1">
        <v>44411</v>
      </c>
      <c r="Y100" t="s">
        <v>100</v>
      </c>
      <c r="Z100">
        <v>692.44</v>
      </c>
      <c r="AA100">
        <v>16</v>
      </c>
      <c r="AB100">
        <v>107.56</v>
      </c>
      <c r="AC100">
        <v>0</v>
      </c>
      <c r="AD100">
        <v>800</v>
      </c>
      <c r="AE100">
        <v>6161.4</v>
      </c>
      <c r="AF100">
        <v>3818</v>
      </c>
      <c r="AG100" t="s">
        <v>410</v>
      </c>
      <c r="AH100" t="s">
        <v>65</v>
      </c>
      <c r="AI100" t="s">
        <v>65</v>
      </c>
      <c r="AJ100" t="s">
        <v>66</v>
      </c>
      <c r="AK100" t="s">
        <v>66</v>
      </c>
      <c r="AL100" t="s">
        <v>66</v>
      </c>
      <c r="AM100" s="2" t="str">
        <f>HYPERLINK("https://transparencia.cidesi.mx/comprobantes/2021/CQ2100597 /C484700C2A-7A6B-4E2A-82C9-46A7D005111E.pdf")</f>
        <v>https://transparencia.cidesi.mx/comprobantes/2021/CQ2100597 /C484700C2A-7A6B-4E2A-82C9-46A7D005111E.pdf</v>
      </c>
      <c r="AN100" t="str">
        <f>HYPERLINK("https://transparencia.cidesi.mx/comprobantes/2021/CQ2100597 /C484700C2A-7A6B-4E2A-82C9-46A7D005111E.pdf")</f>
        <v>https://transparencia.cidesi.mx/comprobantes/2021/CQ2100597 /C484700C2A-7A6B-4E2A-82C9-46A7D005111E.pdf</v>
      </c>
      <c r="AO100" t="str">
        <f>HYPERLINK("https://transparencia.cidesi.mx/comprobantes/2021/CQ2100597 /C484700C2A-7A6B-4E2A-82C9-46A7D005111E.xml")</f>
        <v>https://transparencia.cidesi.mx/comprobantes/2021/CQ2100597 /C484700C2A-7A6B-4E2A-82C9-46A7D005111E.xml</v>
      </c>
      <c r="AP100" t="s">
        <v>411</v>
      </c>
      <c r="AQ100" t="s">
        <v>412</v>
      </c>
      <c r="AR100" t="s">
        <v>413</v>
      </c>
      <c r="AS100" t="s">
        <v>414</v>
      </c>
      <c r="AT100" s="1">
        <v>44412</v>
      </c>
      <c r="AU100" t="s">
        <v>73</v>
      </c>
    </row>
    <row r="101" spans="1:47" x14ac:dyDescent="0.3">
      <c r="A101" t="s">
        <v>246</v>
      </c>
      <c r="B101" t="s">
        <v>182</v>
      </c>
      <c r="C101" t="s">
        <v>183</v>
      </c>
      <c r="D101">
        <v>392</v>
      </c>
      <c r="E101" t="s">
        <v>403</v>
      </c>
      <c r="F101" t="s">
        <v>404</v>
      </c>
      <c r="G101" t="s">
        <v>405</v>
      </c>
      <c r="H101" t="s">
        <v>406</v>
      </c>
      <c r="I101" t="s">
        <v>54</v>
      </c>
      <c r="J101" t="s">
        <v>407</v>
      </c>
      <c r="K101" t="s">
        <v>56</v>
      </c>
      <c r="L101">
        <v>0</v>
      </c>
      <c r="M101" t="s">
        <v>73</v>
      </c>
      <c r="N101">
        <v>0</v>
      </c>
      <c r="O101" t="s">
        <v>58</v>
      </c>
      <c r="P101" t="s">
        <v>59</v>
      </c>
      <c r="Q101" t="s">
        <v>408</v>
      </c>
      <c r="R101" t="s">
        <v>407</v>
      </c>
      <c r="S101" s="1">
        <v>44404</v>
      </c>
      <c r="T101" s="1">
        <v>44407</v>
      </c>
      <c r="U101">
        <v>37501</v>
      </c>
      <c r="V101" t="s">
        <v>104</v>
      </c>
      <c r="W101" t="s">
        <v>409</v>
      </c>
      <c r="X101" s="1">
        <v>44411</v>
      </c>
      <c r="Y101" t="s">
        <v>100</v>
      </c>
      <c r="Z101">
        <v>692.44</v>
      </c>
      <c r="AA101">
        <v>16</v>
      </c>
      <c r="AB101">
        <v>107.56</v>
      </c>
      <c r="AC101">
        <v>0</v>
      </c>
      <c r="AD101">
        <v>800</v>
      </c>
      <c r="AE101">
        <v>6161.4</v>
      </c>
      <c r="AF101">
        <v>3818</v>
      </c>
      <c r="AG101" t="s">
        <v>410</v>
      </c>
      <c r="AH101" t="s">
        <v>65</v>
      </c>
      <c r="AI101" t="s">
        <v>65</v>
      </c>
      <c r="AJ101" t="s">
        <v>66</v>
      </c>
      <c r="AK101" t="s">
        <v>66</v>
      </c>
      <c r="AL101" t="s">
        <v>66</v>
      </c>
      <c r="AM101" s="2" t="str">
        <f>HYPERLINK("https://transparencia.cidesi.mx/comprobantes/2021/CQ2100597 /C5B45E5BAD-C9EB-4821-B904-D5D556F03065.pdf")</f>
        <v>https://transparencia.cidesi.mx/comprobantes/2021/CQ2100597 /C5B45E5BAD-C9EB-4821-B904-D5D556F03065.pdf</v>
      </c>
      <c r="AN101" t="str">
        <f>HYPERLINK("https://transparencia.cidesi.mx/comprobantes/2021/CQ2100597 /C5B45E5BAD-C9EB-4821-B904-D5D556F03065.pdf")</f>
        <v>https://transparencia.cidesi.mx/comprobantes/2021/CQ2100597 /C5B45E5BAD-C9EB-4821-B904-D5D556F03065.pdf</v>
      </c>
      <c r="AO101" t="str">
        <f>HYPERLINK("https://transparencia.cidesi.mx/comprobantes/2021/CQ2100597 /C5B45E5BAD-C9EB-4821-B904-D5D556F03065.xml")</f>
        <v>https://transparencia.cidesi.mx/comprobantes/2021/CQ2100597 /C5B45E5BAD-C9EB-4821-B904-D5D556F03065.xml</v>
      </c>
      <c r="AP101" t="s">
        <v>411</v>
      </c>
      <c r="AQ101" t="s">
        <v>412</v>
      </c>
      <c r="AR101" t="s">
        <v>413</v>
      </c>
      <c r="AS101" t="s">
        <v>414</v>
      </c>
      <c r="AT101" s="1">
        <v>44412</v>
      </c>
      <c r="AU101" t="s">
        <v>73</v>
      </c>
    </row>
    <row r="102" spans="1:47" x14ac:dyDescent="0.3">
      <c r="A102" t="s">
        <v>246</v>
      </c>
      <c r="B102" t="s">
        <v>182</v>
      </c>
      <c r="C102" t="s">
        <v>183</v>
      </c>
      <c r="D102">
        <v>392</v>
      </c>
      <c r="E102" t="s">
        <v>403</v>
      </c>
      <c r="F102" t="s">
        <v>404</v>
      </c>
      <c r="G102" t="s">
        <v>405</v>
      </c>
      <c r="H102" t="s">
        <v>406</v>
      </c>
      <c r="I102" t="s">
        <v>54</v>
      </c>
      <c r="J102" t="s">
        <v>407</v>
      </c>
      <c r="K102" t="s">
        <v>56</v>
      </c>
      <c r="L102">
        <v>0</v>
      </c>
      <c r="M102" t="s">
        <v>73</v>
      </c>
      <c r="N102">
        <v>0</v>
      </c>
      <c r="O102" t="s">
        <v>58</v>
      </c>
      <c r="P102" t="s">
        <v>59</v>
      </c>
      <c r="Q102" t="s">
        <v>408</v>
      </c>
      <c r="R102" t="s">
        <v>407</v>
      </c>
      <c r="S102" s="1">
        <v>44404</v>
      </c>
      <c r="T102" s="1">
        <v>44407</v>
      </c>
      <c r="U102">
        <v>37501</v>
      </c>
      <c r="V102" t="s">
        <v>61</v>
      </c>
      <c r="W102" t="s">
        <v>409</v>
      </c>
      <c r="X102" s="1">
        <v>44411</v>
      </c>
      <c r="Y102" t="s">
        <v>100</v>
      </c>
      <c r="Z102">
        <v>179.31</v>
      </c>
      <c r="AA102">
        <v>16</v>
      </c>
      <c r="AB102">
        <v>28.69</v>
      </c>
      <c r="AC102">
        <v>0</v>
      </c>
      <c r="AD102">
        <v>208</v>
      </c>
      <c r="AE102">
        <v>6161.4</v>
      </c>
      <c r="AF102">
        <v>3818</v>
      </c>
      <c r="AG102" t="s">
        <v>415</v>
      </c>
      <c r="AH102" t="s">
        <v>65</v>
      </c>
      <c r="AI102" t="s">
        <v>65</v>
      </c>
      <c r="AJ102" t="s">
        <v>66</v>
      </c>
      <c r="AK102" t="s">
        <v>66</v>
      </c>
      <c r="AL102" t="s">
        <v>66</v>
      </c>
      <c r="AM102" s="2" t="str">
        <f>HYPERLINK("https://transparencia.cidesi.mx/comprobantes/2021/CQ2100597 /C6de8793a3-fa7e-48ac-97c8-2242ee119ab4.pdf")</f>
        <v>https://transparencia.cidesi.mx/comprobantes/2021/CQ2100597 /C6de8793a3-fa7e-48ac-97c8-2242ee119ab4.pdf</v>
      </c>
      <c r="AN102" t="str">
        <f>HYPERLINK("https://transparencia.cidesi.mx/comprobantes/2021/CQ2100597 /C6de8793a3-fa7e-48ac-97c8-2242ee119ab4.pdf")</f>
        <v>https://transparencia.cidesi.mx/comprobantes/2021/CQ2100597 /C6de8793a3-fa7e-48ac-97c8-2242ee119ab4.pdf</v>
      </c>
      <c r="AO102" t="str">
        <f>HYPERLINK("https://transparencia.cidesi.mx/comprobantes/2021/CQ2100597 /C6de8793a3-fa7e-48ac-97c8-2242ee119ab4.xml")</f>
        <v>https://transparencia.cidesi.mx/comprobantes/2021/CQ2100597 /C6de8793a3-fa7e-48ac-97c8-2242ee119ab4.xml</v>
      </c>
      <c r="AP102" t="s">
        <v>411</v>
      </c>
      <c r="AQ102" t="s">
        <v>412</v>
      </c>
      <c r="AR102" t="s">
        <v>413</v>
      </c>
      <c r="AS102" t="s">
        <v>414</v>
      </c>
      <c r="AT102" s="1">
        <v>44412</v>
      </c>
      <c r="AU102" t="s">
        <v>73</v>
      </c>
    </row>
    <row r="103" spans="1:47" x14ac:dyDescent="0.3">
      <c r="A103" t="s">
        <v>246</v>
      </c>
      <c r="B103" t="s">
        <v>182</v>
      </c>
      <c r="C103" t="s">
        <v>183</v>
      </c>
      <c r="D103">
        <v>392</v>
      </c>
      <c r="E103" t="s">
        <v>403</v>
      </c>
      <c r="F103" t="s">
        <v>404</v>
      </c>
      <c r="G103" t="s">
        <v>405</v>
      </c>
      <c r="H103" t="s">
        <v>406</v>
      </c>
      <c r="I103" t="s">
        <v>54</v>
      </c>
      <c r="J103" t="s">
        <v>407</v>
      </c>
      <c r="K103" t="s">
        <v>56</v>
      </c>
      <c r="L103">
        <v>0</v>
      </c>
      <c r="M103" t="s">
        <v>73</v>
      </c>
      <c r="N103">
        <v>0</v>
      </c>
      <c r="O103" t="s">
        <v>58</v>
      </c>
      <c r="P103" t="s">
        <v>59</v>
      </c>
      <c r="Q103" t="s">
        <v>408</v>
      </c>
      <c r="R103" t="s">
        <v>407</v>
      </c>
      <c r="S103" s="1">
        <v>44404</v>
      </c>
      <c r="T103" s="1">
        <v>44407</v>
      </c>
      <c r="U103">
        <v>37501</v>
      </c>
      <c r="V103" t="s">
        <v>94</v>
      </c>
      <c r="W103" t="s">
        <v>409</v>
      </c>
      <c r="X103" s="1">
        <v>44411</v>
      </c>
      <c r="Y103" t="s">
        <v>100</v>
      </c>
      <c r="Z103">
        <v>29.31</v>
      </c>
      <c r="AA103">
        <v>16</v>
      </c>
      <c r="AB103">
        <v>4.6900000000000004</v>
      </c>
      <c r="AC103">
        <v>0</v>
      </c>
      <c r="AD103">
        <v>34</v>
      </c>
      <c r="AE103">
        <v>6161.4</v>
      </c>
      <c r="AF103">
        <v>3818</v>
      </c>
      <c r="AG103" t="s">
        <v>416</v>
      </c>
      <c r="AH103" t="s">
        <v>66</v>
      </c>
      <c r="AI103" t="s">
        <v>65</v>
      </c>
      <c r="AJ103" t="s">
        <v>66</v>
      </c>
      <c r="AK103" t="s">
        <v>66</v>
      </c>
      <c r="AL103" t="s">
        <v>66</v>
      </c>
      <c r="AM103" s="2" t="str">
        <f>HYPERLINK("https://transparencia.cidesi.mx/comprobantes/2021/CQ2100597 /C7Factura_19915441373.pdf")</f>
        <v>https://transparencia.cidesi.mx/comprobantes/2021/CQ2100597 /C7Factura_19915441373.pdf</v>
      </c>
      <c r="AN103" t="str">
        <f>HYPERLINK("https://transparencia.cidesi.mx/comprobantes/2021/CQ2100597 /C7Factura_19915441373.pdf")</f>
        <v>https://transparencia.cidesi.mx/comprobantes/2021/CQ2100597 /C7Factura_19915441373.pdf</v>
      </c>
      <c r="AO103" t="str">
        <f>HYPERLINK("https://transparencia.cidesi.mx/comprobantes/2021/CQ2100597 /C7Factura_19915441373.xml")</f>
        <v>https://transparencia.cidesi.mx/comprobantes/2021/CQ2100597 /C7Factura_19915441373.xml</v>
      </c>
      <c r="AP103" t="s">
        <v>411</v>
      </c>
      <c r="AQ103" t="s">
        <v>412</v>
      </c>
      <c r="AR103" t="s">
        <v>413</v>
      </c>
      <c r="AS103" t="s">
        <v>414</v>
      </c>
      <c r="AT103" s="1">
        <v>44412</v>
      </c>
      <c r="AU103" t="s">
        <v>73</v>
      </c>
    </row>
    <row r="104" spans="1:47" x14ac:dyDescent="0.3">
      <c r="A104" t="s">
        <v>246</v>
      </c>
      <c r="B104" t="s">
        <v>182</v>
      </c>
      <c r="C104" t="s">
        <v>183</v>
      </c>
      <c r="D104">
        <v>392</v>
      </c>
      <c r="E104" t="s">
        <v>403</v>
      </c>
      <c r="F104" t="s">
        <v>404</v>
      </c>
      <c r="G104" t="s">
        <v>405</v>
      </c>
      <c r="H104" t="s">
        <v>406</v>
      </c>
      <c r="I104" t="s">
        <v>54</v>
      </c>
      <c r="J104" t="s">
        <v>407</v>
      </c>
      <c r="K104" t="s">
        <v>56</v>
      </c>
      <c r="L104">
        <v>0</v>
      </c>
      <c r="M104" t="s">
        <v>73</v>
      </c>
      <c r="N104">
        <v>0</v>
      </c>
      <c r="O104" t="s">
        <v>58</v>
      </c>
      <c r="P104" t="s">
        <v>59</v>
      </c>
      <c r="Q104" t="s">
        <v>408</v>
      </c>
      <c r="R104" t="s">
        <v>407</v>
      </c>
      <c r="S104" s="1">
        <v>44404</v>
      </c>
      <c r="T104" s="1">
        <v>44407</v>
      </c>
      <c r="U104">
        <v>37501</v>
      </c>
      <c r="V104" t="s">
        <v>61</v>
      </c>
      <c r="W104" t="s">
        <v>409</v>
      </c>
      <c r="X104" s="1">
        <v>44411</v>
      </c>
      <c r="Y104" t="s">
        <v>100</v>
      </c>
      <c r="Z104">
        <v>129.72</v>
      </c>
      <c r="AA104">
        <v>16</v>
      </c>
      <c r="AB104">
        <v>2.2799999999999998</v>
      </c>
      <c r="AC104">
        <v>0</v>
      </c>
      <c r="AD104">
        <v>132</v>
      </c>
      <c r="AE104">
        <v>6161.4</v>
      </c>
      <c r="AF104">
        <v>3818</v>
      </c>
      <c r="AG104" t="s">
        <v>415</v>
      </c>
      <c r="AH104" t="s">
        <v>65</v>
      </c>
      <c r="AI104" t="s">
        <v>65</v>
      </c>
      <c r="AJ104" t="s">
        <v>66</v>
      </c>
      <c r="AK104" t="s">
        <v>66</v>
      </c>
      <c r="AL104" t="s">
        <v>66</v>
      </c>
      <c r="AM104" s="2" t="str">
        <f>HYPERLINK("https://transparencia.cidesi.mx/comprobantes/2021/CQ2100597 /C8FACTURA_1627608492781_339084417.pdf")</f>
        <v>https://transparencia.cidesi.mx/comprobantes/2021/CQ2100597 /C8FACTURA_1627608492781_339084417.pdf</v>
      </c>
      <c r="AN104" t="str">
        <f>HYPERLINK("https://transparencia.cidesi.mx/comprobantes/2021/CQ2100597 /C8FACTURA_1627608492781_339084417.pdf")</f>
        <v>https://transparencia.cidesi.mx/comprobantes/2021/CQ2100597 /C8FACTURA_1627608492781_339084417.pdf</v>
      </c>
      <c r="AO104" t="str">
        <f>HYPERLINK("https://transparencia.cidesi.mx/comprobantes/2021/CQ2100597 /C8FACTURA_1627608495501_339084417.xml")</f>
        <v>https://transparencia.cidesi.mx/comprobantes/2021/CQ2100597 /C8FACTURA_1627608495501_339084417.xml</v>
      </c>
      <c r="AP104" t="s">
        <v>411</v>
      </c>
      <c r="AQ104" t="s">
        <v>412</v>
      </c>
      <c r="AR104" t="s">
        <v>413</v>
      </c>
      <c r="AS104" t="s">
        <v>414</v>
      </c>
      <c r="AT104" s="1">
        <v>44412</v>
      </c>
      <c r="AU104" t="s">
        <v>73</v>
      </c>
    </row>
    <row r="105" spans="1:47" x14ac:dyDescent="0.3">
      <c r="A105" t="s">
        <v>246</v>
      </c>
      <c r="B105" t="s">
        <v>182</v>
      </c>
      <c r="C105" t="s">
        <v>183</v>
      </c>
      <c r="D105">
        <v>392</v>
      </c>
      <c r="E105" t="s">
        <v>403</v>
      </c>
      <c r="F105" t="s">
        <v>404</v>
      </c>
      <c r="G105" t="s">
        <v>405</v>
      </c>
      <c r="H105" t="s">
        <v>406</v>
      </c>
      <c r="I105" t="s">
        <v>54</v>
      </c>
      <c r="J105" t="s">
        <v>407</v>
      </c>
      <c r="K105" t="s">
        <v>56</v>
      </c>
      <c r="L105">
        <v>0</v>
      </c>
      <c r="M105" t="s">
        <v>73</v>
      </c>
      <c r="N105">
        <v>0</v>
      </c>
      <c r="O105" t="s">
        <v>58</v>
      </c>
      <c r="P105" t="s">
        <v>59</v>
      </c>
      <c r="Q105" t="s">
        <v>408</v>
      </c>
      <c r="R105" t="s">
        <v>407</v>
      </c>
      <c r="S105" s="1">
        <v>44404</v>
      </c>
      <c r="T105" s="1">
        <v>44407</v>
      </c>
      <c r="U105">
        <v>37501</v>
      </c>
      <c r="V105" t="s">
        <v>61</v>
      </c>
      <c r="W105" t="s">
        <v>409</v>
      </c>
      <c r="X105" s="1">
        <v>44411</v>
      </c>
      <c r="Y105" t="s">
        <v>100</v>
      </c>
      <c r="Z105">
        <v>133.62</v>
      </c>
      <c r="AA105">
        <v>16</v>
      </c>
      <c r="AB105">
        <v>21.38</v>
      </c>
      <c r="AC105">
        <v>15.5</v>
      </c>
      <c r="AD105">
        <v>170.5</v>
      </c>
      <c r="AE105">
        <v>6161.4</v>
      </c>
      <c r="AF105">
        <v>3818</v>
      </c>
      <c r="AG105" t="s">
        <v>415</v>
      </c>
      <c r="AH105" t="s">
        <v>65</v>
      </c>
      <c r="AI105" t="s">
        <v>65</v>
      </c>
      <c r="AJ105" t="s">
        <v>66</v>
      </c>
      <c r="AK105" t="s">
        <v>66</v>
      </c>
      <c r="AL105" t="s">
        <v>66</v>
      </c>
      <c r="AM105" s="2" t="str">
        <f>HYPERLINK("https://transparencia.cidesi.mx/comprobantes/2021/CQ2100597 /C9FacturaE1250PDF.pdf")</f>
        <v>https://transparencia.cidesi.mx/comprobantes/2021/CQ2100597 /C9FacturaE1250PDF.pdf</v>
      </c>
      <c r="AN105" t="str">
        <f>HYPERLINK("https://transparencia.cidesi.mx/comprobantes/2021/CQ2100597 /C9FacturaE1250PDF.pdf")</f>
        <v>https://transparencia.cidesi.mx/comprobantes/2021/CQ2100597 /C9FacturaE1250PDF.pdf</v>
      </c>
      <c r="AO105" t="str">
        <f>HYPERLINK("https://transparencia.cidesi.mx/comprobantes/2021/CQ2100597 /C9FacturaE1250Timbrada.xml")</f>
        <v>https://transparencia.cidesi.mx/comprobantes/2021/CQ2100597 /C9FacturaE1250Timbrada.xml</v>
      </c>
      <c r="AP105" t="s">
        <v>411</v>
      </c>
      <c r="AQ105" t="s">
        <v>412</v>
      </c>
      <c r="AR105" t="s">
        <v>413</v>
      </c>
      <c r="AS105" t="s">
        <v>414</v>
      </c>
      <c r="AT105" s="1">
        <v>44412</v>
      </c>
      <c r="AU105" t="s">
        <v>73</v>
      </c>
    </row>
    <row r="106" spans="1:47" x14ac:dyDescent="0.3">
      <c r="A106" t="s">
        <v>246</v>
      </c>
      <c r="B106" t="s">
        <v>182</v>
      </c>
      <c r="C106" t="s">
        <v>183</v>
      </c>
      <c r="D106">
        <v>392</v>
      </c>
      <c r="E106" t="s">
        <v>403</v>
      </c>
      <c r="F106" t="s">
        <v>404</v>
      </c>
      <c r="G106" t="s">
        <v>405</v>
      </c>
      <c r="H106" t="s">
        <v>406</v>
      </c>
      <c r="I106" t="s">
        <v>54</v>
      </c>
      <c r="J106" t="s">
        <v>407</v>
      </c>
      <c r="K106" t="s">
        <v>56</v>
      </c>
      <c r="L106">
        <v>0</v>
      </c>
      <c r="M106" t="s">
        <v>73</v>
      </c>
      <c r="N106">
        <v>0</v>
      </c>
      <c r="O106" t="s">
        <v>58</v>
      </c>
      <c r="P106" t="s">
        <v>59</v>
      </c>
      <c r="Q106" t="s">
        <v>408</v>
      </c>
      <c r="R106" t="s">
        <v>407</v>
      </c>
      <c r="S106" s="1">
        <v>44404</v>
      </c>
      <c r="T106" s="1">
        <v>44407</v>
      </c>
      <c r="U106">
        <v>37501</v>
      </c>
      <c r="V106" t="s">
        <v>61</v>
      </c>
      <c r="W106" t="s">
        <v>409</v>
      </c>
      <c r="X106" s="1">
        <v>44411</v>
      </c>
      <c r="Y106" t="s">
        <v>100</v>
      </c>
      <c r="Z106">
        <v>262.06</v>
      </c>
      <c r="AA106">
        <v>16</v>
      </c>
      <c r="AB106">
        <v>41.94</v>
      </c>
      <c r="AC106">
        <v>30.4</v>
      </c>
      <c r="AD106">
        <v>334.4</v>
      </c>
      <c r="AE106">
        <v>6161.4</v>
      </c>
      <c r="AF106">
        <v>3818</v>
      </c>
      <c r="AG106" t="s">
        <v>415</v>
      </c>
      <c r="AH106" t="s">
        <v>65</v>
      </c>
      <c r="AI106" t="s">
        <v>65</v>
      </c>
      <c r="AJ106" t="s">
        <v>66</v>
      </c>
      <c r="AK106" t="s">
        <v>66</v>
      </c>
      <c r="AL106" t="s">
        <v>66</v>
      </c>
      <c r="AM106" s="2" t="str">
        <f>HYPERLINK("https://transparencia.cidesi.mx/comprobantes/2021/CQ2100597 /C10FacturaE1251PDF.pdf")</f>
        <v>https://transparencia.cidesi.mx/comprobantes/2021/CQ2100597 /C10FacturaE1251PDF.pdf</v>
      </c>
      <c r="AN106" t="str">
        <f>HYPERLINK("https://transparencia.cidesi.mx/comprobantes/2021/CQ2100597 /C10FacturaE1251PDF.pdf")</f>
        <v>https://transparencia.cidesi.mx/comprobantes/2021/CQ2100597 /C10FacturaE1251PDF.pdf</v>
      </c>
      <c r="AO106" t="str">
        <f>HYPERLINK("https://transparencia.cidesi.mx/comprobantes/2021/CQ2100597 /C10FacturaE1251Timbrada.xml")</f>
        <v>https://transparencia.cidesi.mx/comprobantes/2021/CQ2100597 /C10FacturaE1251Timbrada.xml</v>
      </c>
      <c r="AP106" t="s">
        <v>411</v>
      </c>
      <c r="AQ106" t="s">
        <v>412</v>
      </c>
      <c r="AR106" t="s">
        <v>413</v>
      </c>
      <c r="AS106" t="s">
        <v>414</v>
      </c>
      <c r="AT106" s="1">
        <v>44412</v>
      </c>
      <c r="AU106" t="s">
        <v>73</v>
      </c>
    </row>
    <row r="107" spans="1:47" x14ac:dyDescent="0.3">
      <c r="A107" t="s">
        <v>246</v>
      </c>
      <c r="B107" t="s">
        <v>182</v>
      </c>
      <c r="C107" t="s">
        <v>183</v>
      </c>
      <c r="D107">
        <v>392</v>
      </c>
      <c r="E107" t="s">
        <v>403</v>
      </c>
      <c r="F107" t="s">
        <v>404</v>
      </c>
      <c r="G107" t="s">
        <v>405</v>
      </c>
      <c r="H107" t="s">
        <v>406</v>
      </c>
      <c r="I107" t="s">
        <v>54</v>
      </c>
      <c r="J107" t="s">
        <v>407</v>
      </c>
      <c r="K107" t="s">
        <v>56</v>
      </c>
      <c r="L107">
        <v>0</v>
      </c>
      <c r="M107" t="s">
        <v>73</v>
      </c>
      <c r="N107">
        <v>0</v>
      </c>
      <c r="O107" t="s">
        <v>58</v>
      </c>
      <c r="P107" t="s">
        <v>59</v>
      </c>
      <c r="Q107" t="s">
        <v>408</v>
      </c>
      <c r="R107" t="s">
        <v>407</v>
      </c>
      <c r="S107" s="1">
        <v>44404</v>
      </c>
      <c r="T107" s="1">
        <v>44407</v>
      </c>
      <c r="U107">
        <v>37501</v>
      </c>
      <c r="V107" t="s">
        <v>61</v>
      </c>
      <c r="W107" t="s">
        <v>409</v>
      </c>
      <c r="X107" s="1">
        <v>44411</v>
      </c>
      <c r="Y107" t="s">
        <v>100</v>
      </c>
      <c r="Z107">
        <v>309.5</v>
      </c>
      <c r="AA107">
        <v>16</v>
      </c>
      <c r="AB107">
        <v>49.5</v>
      </c>
      <c r="AC107">
        <v>35.9</v>
      </c>
      <c r="AD107">
        <v>394.9</v>
      </c>
      <c r="AE107">
        <v>6161.4</v>
      </c>
      <c r="AF107">
        <v>3818</v>
      </c>
      <c r="AG107" t="s">
        <v>415</v>
      </c>
      <c r="AH107" t="s">
        <v>65</v>
      </c>
      <c r="AI107" t="s">
        <v>65</v>
      </c>
      <c r="AJ107" t="s">
        <v>66</v>
      </c>
      <c r="AK107" t="s">
        <v>66</v>
      </c>
      <c r="AL107" t="s">
        <v>66</v>
      </c>
      <c r="AM107" s="2" t="str">
        <f>HYPERLINK("https://transparencia.cidesi.mx/comprobantes/2021/CQ2100597 /C11FacturaE1252PDF.pdf")</f>
        <v>https://transparencia.cidesi.mx/comprobantes/2021/CQ2100597 /C11FacturaE1252PDF.pdf</v>
      </c>
      <c r="AN107" t="str">
        <f>HYPERLINK("https://transparencia.cidesi.mx/comprobantes/2021/CQ2100597 /C11FacturaE1252PDF.pdf")</f>
        <v>https://transparencia.cidesi.mx/comprobantes/2021/CQ2100597 /C11FacturaE1252PDF.pdf</v>
      </c>
      <c r="AO107" t="str">
        <f>HYPERLINK("https://transparencia.cidesi.mx/comprobantes/2021/CQ2100597 /C11FacturaE1252Timbrada.xml")</f>
        <v>https://transparencia.cidesi.mx/comprobantes/2021/CQ2100597 /C11FacturaE1252Timbrada.xml</v>
      </c>
      <c r="AP107" t="s">
        <v>411</v>
      </c>
      <c r="AQ107" t="s">
        <v>412</v>
      </c>
      <c r="AR107" t="s">
        <v>413</v>
      </c>
      <c r="AS107" t="s">
        <v>414</v>
      </c>
      <c r="AT107" s="1">
        <v>44412</v>
      </c>
      <c r="AU107" t="s">
        <v>73</v>
      </c>
    </row>
    <row r="108" spans="1:47" x14ac:dyDescent="0.3">
      <c r="A108" t="s">
        <v>246</v>
      </c>
      <c r="B108" t="s">
        <v>182</v>
      </c>
      <c r="C108" t="s">
        <v>183</v>
      </c>
      <c r="D108">
        <v>392</v>
      </c>
      <c r="E108" t="s">
        <v>403</v>
      </c>
      <c r="F108" t="s">
        <v>404</v>
      </c>
      <c r="G108" t="s">
        <v>405</v>
      </c>
      <c r="H108" t="s">
        <v>406</v>
      </c>
      <c r="I108" t="s">
        <v>54</v>
      </c>
      <c r="J108" t="s">
        <v>407</v>
      </c>
      <c r="K108" t="s">
        <v>56</v>
      </c>
      <c r="L108">
        <v>0</v>
      </c>
      <c r="M108" t="s">
        <v>73</v>
      </c>
      <c r="N108">
        <v>0</v>
      </c>
      <c r="O108" t="s">
        <v>58</v>
      </c>
      <c r="P108" t="s">
        <v>59</v>
      </c>
      <c r="Q108" t="s">
        <v>408</v>
      </c>
      <c r="R108" t="s">
        <v>407</v>
      </c>
      <c r="S108" s="1">
        <v>44404</v>
      </c>
      <c r="T108" s="1">
        <v>44407</v>
      </c>
      <c r="U108">
        <v>37501</v>
      </c>
      <c r="V108" t="s">
        <v>61</v>
      </c>
      <c r="W108" t="s">
        <v>409</v>
      </c>
      <c r="X108" s="1">
        <v>44411</v>
      </c>
      <c r="Y108" t="s">
        <v>100</v>
      </c>
      <c r="Z108">
        <v>199.14</v>
      </c>
      <c r="AA108">
        <v>16</v>
      </c>
      <c r="AB108">
        <v>31.86</v>
      </c>
      <c r="AC108">
        <v>0</v>
      </c>
      <c r="AD108">
        <v>231</v>
      </c>
      <c r="AE108">
        <v>6161.4</v>
      </c>
      <c r="AF108">
        <v>3818</v>
      </c>
      <c r="AG108" t="s">
        <v>415</v>
      </c>
      <c r="AH108" t="s">
        <v>65</v>
      </c>
      <c r="AI108" t="s">
        <v>65</v>
      </c>
      <c r="AJ108" t="s">
        <v>66</v>
      </c>
      <c r="AK108" t="s">
        <v>66</v>
      </c>
      <c r="AL108" t="s">
        <v>66</v>
      </c>
      <c r="AM108" s="2" t="str">
        <f>HYPERLINK("https://transparencia.cidesi.mx/comprobantes/2021/CQ2100597 /C12FFE0000000721.pdf")</f>
        <v>https://transparencia.cidesi.mx/comprobantes/2021/CQ2100597 /C12FFE0000000721.pdf</v>
      </c>
      <c r="AN108" t="str">
        <f>HYPERLINK("https://transparencia.cidesi.mx/comprobantes/2021/CQ2100597 /C12FFE0000000721.pdf")</f>
        <v>https://transparencia.cidesi.mx/comprobantes/2021/CQ2100597 /C12FFE0000000721.pdf</v>
      </c>
      <c r="AO108" t="str">
        <f>HYPERLINK("https://transparencia.cidesi.mx/comprobantes/2021/CQ2100597 /C12FFE0000000721.xml")</f>
        <v>https://transparencia.cidesi.mx/comprobantes/2021/CQ2100597 /C12FFE0000000721.xml</v>
      </c>
      <c r="AP108" t="s">
        <v>411</v>
      </c>
      <c r="AQ108" t="s">
        <v>412</v>
      </c>
      <c r="AR108" t="s">
        <v>413</v>
      </c>
      <c r="AS108" t="s">
        <v>414</v>
      </c>
      <c r="AT108" s="1">
        <v>44412</v>
      </c>
      <c r="AU108" t="s">
        <v>73</v>
      </c>
    </row>
    <row r="109" spans="1:47" x14ac:dyDescent="0.3">
      <c r="A109" t="s">
        <v>246</v>
      </c>
      <c r="B109" t="s">
        <v>182</v>
      </c>
      <c r="C109" t="s">
        <v>183</v>
      </c>
      <c r="D109">
        <v>392</v>
      </c>
      <c r="E109" t="s">
        <v>403</v>
      </c>
      <c r="F109" t="s">
        <v>404</v>
      </c>
      <c r="G109" t="s">
        <v>405</v>
      </c>
      <c r="H109" t="s">
        <v>406</v>
      </c>
      <c r="I109" t="s">
        <v>54</v>
      </c>
      <c r="J109" t="s">
        <v>407</v>
      </c>
      <c r="K109" t="s">
        <v>56</v>
      </c>
      <c r="L109">
        <v>0</v>
      </c>
      <c r="M109" t="s">
        <v>73</v>
      </c>
      <c r="N109">
        <v>0</v>
      </c>
      <c r="O109" t="s">
        <v>58</v>
      </c>
      <c r="P109" t="s">
        <v>59</v>
      </c>
      <c r="Q109" t="s">
        <v>408</v>
      </c>
      <c r="R109" t="s">
        <v>407</v>
      </c>
      <c r="S109" s="1">
        <v>44404</v>
      </c>
      <c r="T109" s="1">
        <v>44407</v>
      </c>
      <c r="U109">
        <v>37501</v>
      </c>
      <c r="V109" t="s">
        <v>61</v>
      </c>
      <c r="W109" t="s">
        <v>409</v>
      </c>
      <c r="X109" s="1">
        <v>44411</v>
      </c>
      <c r="Y109" t="s">
        <v>100</v>
      </c>
      <c r="Z109">
        <v>182.76</v>
      </c>
      <c r="AA109">
        <v>16</v>
      </c>
      <c r="AB109">
        <v>29.24</v>
      </c>
      <c r="AC109">
        <v>21.2</v>
      </c>
      <c r="AD109">
        <v>233.2</v>
      </c>
      <c r="AE109">
        <v>6161.4</v>
      </c>
      <c r="AF109">
        <v>3818</v>
      </c>
      <c r="AG109" t="s">
        <v>415</v>
      </c>
      <c r="AH109" t="s">
        <v>65</v>
      </c>
      <c r="AI109" t="s">
        <v>65</v>
      </c>
      <c r="AJ109" t="s">
        <v>66</v>
      </c>
      <c r="AK109" t="s">
        <v>66</v>
      </c>
      <c r="AL109" t="s">
        <v>66</v>
      </c>
      <c r="AM109" s="2" t="str">
        <f>HYPERLINK("https://transparencia.cidesi.mx/comprobantes/2021/CQ2100597 /C13M-898.pdf")</f>
        <v>https://transparencia.cidesi.mx/comprobantes/2021/CQ2100597 /C13M-898.pdf</v>
      </c>
      <c r="AN109" t="str">
        <f>HYPERLINK("https://transparencia.cidesi.mx/comprobantes/2021/CQ2100597 /C13M-898.pdf")</f>
        <v>https://transparencia.cidesi.mx/comprobantes/2021/CQ2100597 /C13M-898.pdf</v>
      </c>
      <c r="AO109" t="str">
        <f>HYPERLINK("https://transparencia.cidesi.mx/comprobantes/2021/CQ2100597 /C13M-898.xml")</f>
        <v>https://transparencia.cidesi.mx/comprobantes/2021/CQ2100597 /C13M-898.xml</v>
      </c>
      <c r="AP109" t="s">
        <v>411</v>
      </c>
      <c r="AQ109" t="s">
        <v>412</v>
      </c>
      <c r="AR109" t="s">
        <v>413</v>
      </c>
      <c r="AS109" t="s">
        <v>414</v>
      </c>
      <c r="AT109" s="1">
        <v>44412</v>
      </c>
      <c r="AU109" t="s">
        <v>73</v>
      </c>
    </row>
    <row r="110" spans="1:47" x14ac:dyDescent="0.3">
      <c r="A110" t="s">
        <v>246</v>
      </c>
      <c r="B110" t="s">
        <v>182</v>
      </c>
      <c r="C110" t="s">
        <v>183</v>
      </c>
      <c r="D110">
        <v>392</v>
      </c>
      <c r="E110" t="s">
        <v>403</v>
      </c>
      <c r="F110" t="s">
        <v>404</v>
      </c>
      <c r="G110" t="s">
        <v>405</v>
      </c>
      <c r="H110" t="s">
        <v>406</v>
      </c>
      <c r="I110" t="s">
        <v>54</v>
      </c>
      <c r="J110" t="s">
        <v>407</v>
      </c>
      <c r="K110" t="s">
        <v>56</v>
      </c>
      <c r="L110">
        <v>0</v>
      </c>
      <c r="M110" t="s">
        <v>73</v>
      </c>
      <c r="N110">
        <v>0</v>
      </c>
      <c r="O110" t="s">
        <v>58</v>
      </c>
      <c r="P110" t="s">
        <v>59</v>
      </c>
      <c r="Q110" t="s">
        <v>408</v>
      </c>
      <c r="R110" t="s">
        <v>407</v>
      </c>
      <c r="S110" s="1">
        <v>44404</v>
      </c>
      <c r="T110" s="1">
        <v>44407</v>
      </c>
      <c r="U110">
        <v>37201</v>
      </c>
      <c r="V110" t="s">
        <v>417</v>
      </c>
      <c r="W110" t="s">
        <v>409</v>
      </c>
      <c r="X110" s="1">
        <v>44411</v>
      </c>
      <c r="Y110" t="s">
        <v>100</v>
      </c>
      <c r="Z110">
        <v>1237.93</v>
      </c>
      <c r="AA110">
        <v>16</v>
      </c>
      <c r="AB110">
        <v>198.07</v>
      </c>
      <c r="AC110">
        <v>0</v>
      </c>
      <c r="AD110">
        <v>1436</v>
      </c>
      <c r="AE110">
        <v>6161.4</v>
      </c>
      <c r="AF110">
        <v>3818</v>
      </c>
      <c r="AG110" t="s">
        <v>418</v>
      </c>
      <c r="AH110" t="s">
        <v>66</v>
      </c>
      <c r="AI110" t="s">
        <v>65</v>
      </c>
      <c r="AJ110" t="s">
        <v>66</v>
      </c>
      <c r="AK110" t="s">
        <v>66</v>
      </c>
      <c r="AL110" t="s">
        <v>66</v>
      </c>
      <c r="AM110" s="2" t="str">
        <f>HYPERLINK("https://transparencia.cidesi.mx/comprobantes/2021/CQ2100597 /C14SECFD_20210729_084544.pdf")</f>
        <v>https://transparencia.cidesi.mx/comprobantes/2021/CQ2100597 /C14SECFD_20210729_084544.pdf</v>
      </c>
      <c r="AN110" t="str">
        <f>HYPERLINK("https://transparencia.cidesi.mx/comprobantes/2021/CQ2100597 /C14SECFD_20210729_084544.pdf")</f>
        <v>https://transparencia.cidesi.mx/comprobantes/2021/CQ2100597 /C14SECFD_20210729_084544.pdf</v>
      </c>
      <c r="AO110" t="str">
        <f>HYPERLINK("https://transparencia.cidesi.mx/comprobantes/2021/CQ2100597 /C14SECFD_20210729_084544.xml")</f>
        <v>https://transparencia.cidesi.mx/comprobantes/2021/CQ2100597 /C14SECFD_20210729_084544.xml</v>
      </c>
      <c r="AP110" t="s">
        <v>411</v>
      </c>
      <c r="AQ110" t="s">
        <v>412</v>
      </c>
      <c r="AR110" t="s">
        <v>413</v>
      </c>
      <c r="AS110" t="s">
        <v>414</v>
      </c>
      <c r="AT110" s="1">
        <v>44412</v>
      </c>
      <c r="AU110" t="s">
        <v>73</v>
      </c>
    </row>
    <row r="111" spans="1:47" x14ac:dyDescent="0.3">
      <c r="A111" t="s">
        <v>246</v>
      </c>
      <c r="B111" t="s">
        <v>182</v>
      </c>
      <c r="C111" t="s">
        <v>183</v>
      </c>
      <c r="D111">
        <v>392</v>
      </c>
      <c r="E111" t="s">
        <v>403</v>
      </c>
      <c r="F111" t="s">
        <v>404</v>
      </c>
      <c r="G111" t="s">
        <v>405</v>
      </c>
      <c r="H111" t="s">
        <v>419</v>
      </c>
      <c r="I111" t="s">
        <v>54</v>
      </c>
      <c r="J111" t="s">
        <v>420</v>
      </c>
      <c r="K111" t="s">
        <v>56</v>
      </c>
      <c r="L111">
        <v>0</v>
      </c>
      <c r="M111" t="s">
        <v>73</v>
      </c>
      <c r="N111">
        <v>0</v>
      </c>
      <c r="O111" t="s">
        <v>58</v>
      </c>
      <c r="P111" t="s">
        <v>59</v>
      </c>
      <c r="Q111" t="s">
        <v>421</v>
      </c>
      <c r="R111" t="s">
        <v>420</v>
      </c>
      <c r="S111" s="1">
        <v>44424</v>
      </c>
      <c r="T111" s="1">
        <v>44427</v>
      </c>
      <c r="U111">
        <v>37501</v>
      </c>
      <c r="V111" t="s">
        <v>61</v>
      </c>
      <c r="W111" t="s">
        <v>422</v>
      </c>
      <c r="X111" s="1">
        <v>44428</v>
      </c>
      <c r="Y111" t="s">
        <v>63</v>
      </c>
      <c r="Z111">
        <v>174.14</v>
      </c>
      <c r="AA111">
        <v>16</v>
      </c>
      <c r="AB111">
        <v>27.86</v>
      </c>
      <c r="AC111">
        <v>0</v>
      </c>
      <c r="AD111">
        <v>202</v>
      </c>
      <c r="AE111">
        <v>6139.28</v>
      </c>
      <c r="AF111">
        <v>3818</v>
      </c>
      <c r="AG111" t="s">
        <v>415</v>
      </c>
      <c r="AH111" t="s">
        <v>65</v>
      </c>
      <c r="AI111" t="s">
        <v>65</v>
      </c>
      <c r="AJ111" t="s">
        <v>66</v>
      </c>
      <c r="AK111" t="s">
        <v>66</v>
      </c>
      <c r="AL111" t="s">
        <v>66</v>
      </c>
      <c r="AM111" s="2" t="str">
        <f>HYPERLINK("https://transparencia.cidesi.mx/comprobantes/2021/CQ2100672 /C10b56fe08-f81b-4579-8a5a-a3ecf63b6bdb.pdf")</f>
        <v>https://transparencia.cidesi.mx/comprobantes/2021/CQ2100672 /C10b56fe08-f81b-4579-8a5a-a3ecf63b6bdb.pdf</v>
      </c>
      <c r="AN111" t="str">
        <f>HYPERLINK("https://transparencia.cidesi.mx/comprobantes/2021/CQ2100672 /C10b56fe08-f81b-4579-8a5a-a3ecf63b6bdb.pdf")</f>
        <v>https://transparencia.cidesi.mx/comprobantes/2021/CQ2100672 /C10b56fe08-f81b-4579-8a5a-a3ecf63b6bdb.pdf</v>
      </c>
      <c r="AO111" t="str">
        <f>HYPERLINK("https://transparencia.cidesi.mx/comprobantes/2021/CQ2100672 /C10b56fe08-f81b-4579-8a5a-a3ecf63b6bdb.xml")</f>
        <v>https://transparencia.cidesi.mx/comprobantes/2021/CQ2100672 /C10b56fe08-f81b-4579-8a5a-a3ecf63b6bdb.xml</v>
      </c>
      <c r="AP111" t="s">
        <v>423</v>
      </c>
      <c r="AQ111" t="s">
        <v>424</v>
      </c>
      <c r="AR111" t="s">
        <v>425</v>
      </c>
      <c r="AS111" t="s">
        <v>426</v>
      </c>
      <c r="AT111" s="1">
        <v>44431</v>
      </c>
      <c r="AU111" s="1">
        <v>44433</v>
      </c>
    </row>
    <row r="112" spans="1:47" x14ac:dyDescent="0.3">
      <c r="A112" t="s">
        <v>246</v>
      </c>
      <c r="B112" t="s">
        <v>182</v>
      </c>
      <c r="C112" t="s">
        <v>183</v>
      </c>
      <c r="D112">
        <v>392</v>
      </c>
      <c r="E112" t="s">
        <v>403</v>
      </c>
      <c r="F112" t="s">
        <v>404</v>
      </c>
      <c r="G112" t="s">
        <v>405</v>
      </c>
      <c r="H112" t="s">
        <v>419</v>
      </c>
      <c r="I112" t="s">
        <v>54</v>
      </c>
      <c r="J112" t="s">
        <v>420</v>
      </c>
      <c r="K112" t="s">
        <v>56</v>
      </c>
      <c r="L112">
        <v>0</v>
      </c>
      <c r="M112" t="s">
        <v>73</v>
      </c>
      <c r="N112">
        <v>0</v>
      </c>
      <c r="O112" t="s">
        <v>58</v>
      </c>
      <c r="P112" t="s">
        <v>59</v>
      </c>
      <c r="Q112" t="s">
        <v>421</v>
      </c>
      <c r="R112" t="s">
        <v>420</v>
      </c>
      <c r="S112" s="1">
        <v>44424</v>
      </c>
      <c r="T112" s="1">
        <v>44427</v>
      </c>
      <c r="U112">
        <v>37501</v>
      </c>
      <c r="V112" t="s">
        <v>104</v>
      </c>
      <c r="W112" t="s">
        <v>422</v>
      </c>
      <c r="X112" s="1">
        <v>44428</v>
      </c>
      <c r="Y112" t="s">
        <v>63</v>
      </c>
      <c r="Z112">
        <v>720.13</v>
      </c>
      <c r="AA112">
        <v>16</v>
      </c>
      <c r="AB112">
        <v>111.87</v>
      </c>
      <c r="AC112">
        <v>0</v>
      </c>
      <c r="AD112">
        <v>832</v>
      </c>
      <c r="AE112">
        <v>6139.28</v>
      </c>
      <c r="AF112">
        <v>3818</v>
      </c>
      <c r="AG112" t="s">
        <v>410</v>
      </c>
      <c r="AH112" t="s">
        <v>65</v>
      </c>
      <c r="AI112" t="s">
        <v>65</v>
      </c>
      <c r="AJ112" t="s">
        <v>66</v>
      </c>
      <c r="AK112" t="s">
        <v>66</v>
      </c>
      <c r="AL112" t="s">
        <v>66</v>
      </c>
      <c r="AM112" s="2" t="str">
        <f>HYPERLINK("https://transparencia.cidesi.mx/comprobantes/2021/CQ2100672 /C26B1F8FF2-12C5-4C16-8963-6E576B74C8D7.pdf")</f>
        <v>https://transparencia.cidesi.mx/comprobantes/2021/CQ2100672 /C26B1F8FF2-12C5-4C16-8963-6E576B74C8D7.pdf</v>
      </c>
      <c r="AN112" t="str">
        <f>HYPERLINK("https://transparencia.cidesi.mx/comprobantes/2021/CQ2100672 /C26B1F8FF2-12C5-4C16-8963-6E576B74C8D7.pdf")</f>
        <v>https://transparencia.cidesi.mx/comprobantes/2021/CQ2100672 /C26B1F8FF2-12C5-4C16-8963-6E576B74C8D7.pdf</v>
      </c>
      <c r="AO112" t="str">
        <f>HYPERLINK("https://transparencia.cidesi.mx/comprobantes/2021/CQ2100672 /C26B1F8FF2-12C5-4C16-8963-6E576B74C8D7.xml")</f>
        <v>https://transparencia.cidesi.mx/comprobantes/2021/CQ2100672 /C26B1F8FF2-12C5-4C16-8963-6E576B74C8D7.xml</v>
      </c>
      <c r="AP112" t="s">
        <v>423</v>
      </c>
      <c r="AQ112" t="s">
        <v>424</v>
      </c>
      <c r="AR112" t="s">
        <v>425</v>
      </c>
      <c r="AS112" t="s">
        <v>426</v>
      </c>
      <c r="AT112" s="1">
        <v>44431</v>
      </c>
      <c r="AU112" s="1">
        <v>44433</v>
      </c>
    </row>
    <row r="113" spans="1:47" x14ac:dyDescent="0.3">
      <c r="A113" t="s">
        <v>246</v>
      </c>
      <c r="B113" t="s">
        <v>182</v>
      </c>
      <c r="C113" t="s">
        <v>183</v>
      </c>
      <c r="D113">
        <v>392</v>
      </c>
      <c r="E113" t="s">
        <v>403</v>
      </c>
      <c r="F113" t="s">
        <v>404</v>
      </c>
      <c r="G113" t="s">
        <v>405</v>
      </c>
      <c r="H113" t="s">
        <v>419</v>
      </c>
      <c r="I113" t="s">
        <v>54</v>
      </c>
      <c r="J113" t="s">
        <v>420</v>
      </c>
      <c r="K113" t="s">
        <v>56</v>
      </c>
      <c r="L113">
        <v>0</v>
      </c>
      <c r="M113" t="s">
        <v>73</v>
      </c>
      <c r="N113">
        <v>0</v>
      </c>
      <c r="O113" t="s">
        <v>58</v>
      </c>
      <c r="P113" t="s">
        <v>59</v>
      </c>
      <c r="Q113" t="s">
        <v>421</v>
      </c>
      <c r="R113" t="s">
        <v>420</v>
      </c>
      <c r="S113" s="1">
        <v>44424</v>
      </c>
      <c r="T113" s="1">
        <v>44427</v>
      </c>
      <c r="U113">
        <v>26102</v>
      </c>
      <c r="V113" t="s">
        <v>280</v>
      </c>
      <c r="W113" t="s">
        <v>422</v>
      </c>
      <c r="X113" s="1">
        <v>44428</v>
      </c>
      <c r="Y113" t="s">
        <v>63</v>
      </c>
      <c r="Z113">
        <v>946.75</v>
      </c>
      <c r="AA113">
        <v>16</v>
      </c>
      <c r="AB113">
        <v>147.66</v>
      </c>
      <c r="AC113">
        <v>0</v>
      </c>
      <c r="AD113">
        <v>1094.4100000000001</v>
      </c>
      <c r="AE113">
        <v>6139.28</v>
      </c>
      <c r="AF113">
        <v>3818</v>
      </c>
      <c r="AG113" t="s">
        <v>427</v>
      </c>
      <c r="AH113" t="s">
        <v>65</v>
      </c>
      <c r="AI113" t="s">
        <v>65</v>
      </c>
      <c r="AJ113" t="s">
        <v>66</v>
      </c>
      <c r="AK113" t="s">
        <v>66</v>
      </c>
      <c r="AL113" t="s">
        <v>66</v>
      </c>
      <c r="AM113" s="2" t="str">
        <f>HYPERLINK("https://transparencia.cidesi.mx/comprobantes/2021/CQ2100672 /C3CID840309UG7_CFDI_B45230_20210817.pdf")</f>
        <v>https://transparencia.cidesi.mx/comprobantes/2021/CQ2100672 /C3CID840309UG7_CFDI_B45230_20210817.pdf</v>
      </c>
      <c r="AN113" t="str">
        <f>HYPERLINK("https://transparencia.cidesi.mx/comprobantes/2021/CQ2100672 /C3CID840309UG7_CFDI_B45230_20210817.pdf")</f>
        <v>https://transparencia.cidesi.mx/comprobantes/2021/CQ2100672 /C3CID840309UG7_CFDI_B45230_20210817.pdf</v>
      </c>
      <c r="AO113" t="str">
        <f>HYPERLINK("https://transparencia.cidesi.mx/comprobantes/2021/CQ2100672 /C3CID840309UG7_CFDI_B45230_20210817.xml")</f>
        <v>https://transparencia.cidesi.mx/comprobantes/2021/CQ2100672 /C3CID840309UG7_CFDI_B45230_20210817.xml</v>
      </c>
      <c r="AP113" t="s">
        <v>423</v>
      </c>
      <c r="AQ113" t="s">
        <v>424</v>
      </c>
      <c r="AR113" t="s">
        <v>425</v>
      </c>
      <c r="AS113" t="s">
        <v>426</v>
      </c>
      <c r="AT113" s="1">
        <v>44431</v>
      </c>
      <c r="AU113" s="1">
        <v>44433</v>
      </c>
    </row>
    <row r="114" spans="1:47" x14ac:dyDescent="0.3">
      <c r="A114" t="s">
        <v>246</v>
      </c>
      <c r="B114" t="s">
        <v>182</v>
      </c>
      <c r="C114" t="s">
        <v>183</v>
      </c>
      <c r="D114">
        <v>392</v>
      </c>
      <c r="E114" t="s">
        <v>403</v>
      </c>
      <c r="F114" t="s">
        <v>404</v>
      </c>
      <c r="G114" t="s">
        <v>405</v>
      </c>
      <c r="H114" t="s">
        <v>419</v>
      </c>
      <c r="I114" t="s">
        <v>54</v>
      </c>
      <c r="J114" t="s">
        <v>420</v>
      </c>
      <c r="K114" t="s">
        <v>56</v>
      </c>
      <c r="L114">
        <v>0</v>
      </c>
      <c r="M114" t="s">
        <v>73</v>
      </c>
      <c r="N114">
        <v>0</v>
      </c>
      <c r="O114" t="s">
        <v>58</v>
      </c>
      <c r="P114" t="s">
        <v>59</v>
      </c>
      <c r="Q114" t="s">
        <v>421</v>
      </c>
      <c r="R114" t="s">
        <v>420</v>
      </c>
      <c r="S114" s="1">
        <v>44424</v>
      </c>
      <c r="T114" s="1">
        <v>44427</v>
      </c>
      <c r="U114">
        <v>37501</v>
      </c>
      <c r="V114" t="s">
        <v>61</v>
      </c>
      <c r="W114" t="s">
        <v>422</v>
      </c>
      <c r="X114" s="1">
        <v>44428</v>
      </c>
      <c r="Y114" t="s">
        <v>63</v>
      </c>
      <c r="Z114">
        <v>304.31</v>
      </c>
      <c r="AA114">
        <v>16</v>
      </c>
      <c r="AB114">
        <v>48.69</v>
      </c>
      <c r="AC114">
        <v>35.299999999999997</v>
      </c>
      <c r="AD114">
        <v>388.3</v>
      </c>
      <c r="AE114">
        <v>6139.28</v>
      </c>
      <c r="AF114">
        <v>3818</v>
      </c>
      <c r="AG114" t="s">
        <v>415</v>
      </c>
      <c r="AH114" t="s">
        <v>65</v>
      </c>
      <c r="AI114" t="s">
        <v>65</v>
      </c>
      <c r="AJ114" t="s">
        <v>66</v>
      </c>
      <c r="AK114" t="s">
        <v>66</v>
      </c>
      <c r="AL114" t="s">
        <v>66</v>
      </c>
      <c r="AM114" s="2" t="str">
        <f>HYPERLINK("https://transparencia.cidesi.mx/comprobantes/2021/CQ2100672 /C4FACTURA 356.pdf")</f>
        <v>https://transparencia.cidesi.mx/comprobantes/2021/CQ2100672 /C4FACTURA 356.pdf</v>
      </c>
      <c r="AN114" t="str">
        <f>HYPERLINK("https://transparencia.cidesi.mx/comprobantes/2021/CQ2100672 /C4FACTURA 356.pdf")</f>
        <v>https://transparencia.cidesi.mx/comprobantes/2021/CQ2100672 /C4FACTURA 356.pdf</v>
      </c>
      <c r="AO114" t="str">
        <f>HYPERLINK("https://transparencia.cidesi.mx/comprobantes/2021/CQ2100672 /C4FACTURA 356.xml")</f>
        <v>https://transparencia.cidesi.mx/comprobantes/2021/CQ2100672 /C4FACTURA 356.xml</v>
      </c>
      <c r="AP114" t="s">
        <v>423</v>
      </c>
      <c r="AQ114" t="s">
        <v>424</v>
      </c>
      <c r="AR114" t="s">
        <v>425</v>
      </c>
      <c r="AS114" t="s">
        <v>426</v>
      </c>
      <c r="AT114" s="1">
        <v>44431</v>
      </c>
      <c r="AU114" s="1">
        <v>44433</v>
      </c>
    </row>
    <row r="115" spans="1:47" x14ac:dyDescent="0.3">
      <c r="A115" t="s">
        <v>246</v>
      </c>
      <c r="B115" t="s">
        <v>182</v>
      </c>
      <c r="C115" t="s">
        <v>183</v>
      </c>
      <c r="D115">
        <v>392</v>
      </c>
      <c r="E115" t="s">
        <v>403</v>
      </c>
      <c r="F115" t="s">
        <v>404</v>
      </c>
      <c r="G115" t="s">
        <v>405</v>
      </c>
      <c r="H115" t="s">
        <v>419</v>
      </c>
      <c r="I115" t="s">
        <v>54</v>
      </c>
      <c r="J115" t="s">
        <v>420</v>
      </c>
      <c r="K115" t="s">
        <v>56</v>
      </c>
      <c r="L115">
        <v>0</v>
      </c>
      <c r="M115" t="s">
        <v>73</v>
      </c>
      <c r="N115">
        <v>0</v>
      </c>
      <c r="O115" t="s">
        <v>58</v>
      </c>
      <c r="P115" t="s">
        <v>59</v>
      </c>
      <c r="Q115" t="s">
        <v>421</v>
      </c>
      <c r="R115" t="s">
        <v>420</v>
      </c>
      <c r="S115" s="1">
        <v>44424</v>
      </c>
      <c r="T115" s="1">
        <v>44427</v>
      </c>
      <c r="U115">
        <v>37501</v>
      </c>
      <c r="V115" t="s">
        <v>61</v>
      </c>
      <c r="W115" t="s">
        <v>422</v>
      </c>
      <c r="X115" s="1">
        <v>44428</v>
      </c>
      <c r="Y115" t="s">
        <v>63</v>
      </c>
      <c r="Z115">
        <v>144.9</v>
      </c>
      <c r="AA115">
        <v>16</v>
      </c>
      <c r="AB115">
        <v>7.1</v>
      </c>
      <c r="AC115">
        <v>0</v>
      </c>
      <c r="AD115">
        <v>152</v>
      </c>
      <c r="AE115">
        <v>6139.28</v>
      </c>
      <c r="AF115">
        <v>3818</v>
      </c>
      <c r="AG115" t="s">
        <v>415</v>
      </c>
      <c r="AH115" t="s">
        <v>65</v>
      </c>
      <c r="AI115" t="s">
        <v>65</v>
      </c>
      <c r="AJ115" t="s">
        <v>66</v>
      </c>
      <c r="AK115" t="s">
        <v>66</v>
      </c>
      <c r="AL115" t="s">
        <v>66</v>
      </c>
      <c r="AM115" s="2" t="str">
        <f>HYPERLINK("https://transparencia.cidesi.mx/comprobantes/2021/CQ2100672 /C5FACTURA_1629472329431_341443251.pdf")</f>
        <v>https://transparencia.cidesi.mx/comprobantes/2021/CQ2100672 /C5FACTURA_1629472329431_341443251.pdf</v>
      </c>
      <c r="AN115" t="str">
        <f>HYPERLINK("https://transparencia.cidesi.mx/comprobantes/2021/CQ2100672 /C5FACTURA_1629472329431_341443251.pdf")</f>
        <v>https://transparencia.cidesi.mx/comprobantes/2021/CQ2100672 /C5FACTURA_1629472329431_341443251.pdf</v>
      </c>
      <c r="AO115" t="str">
        <f>HYPERLINK("https://transparencia.cidesi.mx/comprobantes/2021/CQ2100672 /C5FACTURA_1629472331681_341443251.xml")</f>
        <v>https://transparencia.cidesi.mx/comprobantes/2021/CQ2100672 /C5FACTURA_1629472331681_341443251.xml</v>
      </c>
      <c r="AP115" t="s">
        <v>423</v>
      </c>
      <c r="AQ115" t="s">
        <v>424</v>
      </c>
      <c r="AR115" t="s">
        <v>425</v>
      </c>
      <c r="AS115" t="s">
        <v>426</v>
      </c>
      <c r="AT115" s="1">
        <v>44431</v>
      </c>
      <c r="AU115" s="1">
        <v>44433</v>
      </c>
    </row>
    <row r="116" spans="1:47" x14ac:dyDescent="0.3">
      <c r="A116" t="s">
        <v>246</v>
      </c>
      <c r="B116" t="s">
        <v>182</v>
      </c>
      <c r="C116" t="s">
        <v>183</v>
      </c>
      <c r="D116">
        <v>392</v>
      </c>
      <c r="E116" t="s">
        <v>403</v>
      </c>
      <c r="F116" t="s">
        <v>404</v>
      </c>
      <c r="G116" t="s">
        <v>405</v>
      </c>
      <c r="H116" t="s">
        <v>419</v>
      </c>
      <c r="I116" t="s">
        <v>54</v>
      </c>
      <c r="J116" t="s">
        <v>420</v>
      </c>
      <c r="K116" t="s">
        <v>56</v>
      </c>
      <c r="L116">
        <v>0</v>
      </c>
      <c r="M116" t="s">
        <v>73</v>
      </c>
      <c r="N116">
        <v>0</v>
      </c>
      <c r="O116" t="s">
        <v>58</v>
      </c>
      <c r="P116" t="s">
        <v>59</v>
      </c>
      <c r="Q116" t="s">
        <v>421</v>
      </c>
      <c r="R116" t="s">
        <v>420</v>
      </c>
      <c r="S116" s="1">
        <v>44424</v>
      </c>
      <c r="T116" s="1">
        <v>44427</v>
      </c>
      <c r="U116">
        <v>37501</v>
      </c>
      <c r="V116" t="s">
        <v>61</v>
      </c>
      <c r="W116" t="s">
        <v>422</v>
      </c>
      <c r="X116" s="1">
        <v>44428</v>
      </c>
      <c r="Y116" t="s">
        <v>63</v>
      </c>
      <c r="Z116">
        <v>70.56</v>
      </c>
      <c r="AA116">
        <v>16</v>
      </c>
      <c r="AB116">
        <v>5.94</v>
      </c>
      <c r="AC116">
        <v>0</v>
      </c>
      <c r="AD116">
        <v>76.5</v>
      </c>
      <c r="AE116">
        <v>6139.28</v>
      </c>
      <c r="AF116">
        <v>3818</v>
      </c>
      <c r="AG116" t="s">
        <v>415</v>
      </c>
      <c r="AH116" t="s">
        <v>65</v>
      </c>
      <c r="AI116" t="s">
        <v>65</v>
      </c>
      <c r="AJ116" t="s">
        <v>66</v>
      </c>
      <c r="AK116" t="s">
        <v>66</v>
      </c>
      <c r="AL116" t="s">
        <v>66</v>
      </c>
      <c r="AM116" s="2" t="str">
        <f>HYPERLINK("https://transparencia.cidesi.mx/comprobantes/2021/CQ2100672 /C6FACTURA_1629472437761_341443547.pdf")</f>
        <v>https://transparencia.cidesi.mx/comprobantes/2021/CQ2100672 /C6FACTURA_1629472437761_341443547.pdf</v>
      </c>
      <c r="AN116" t="str">
        <f>HYPERLINK("https://transparencia.cidesi.mx/comprobantes/2021/CQ2100672 /C6FACTURA_1629472437761_341443547.pdf")</f>
        <v>https://transparencia.cidesi.mx/comprobantes/2021/CQ2100672 /C6FACTURA_1629472437761_341443547.pdf</v>
      </c>
      <c r="AO116" t="str">
        <f>HYPERLINK("https://transparencia.cidesi.mx/comprobantes/2021/CQ2100672 /C6FACTURA_1629472439791_341443547.xml")</f>
        <v>https://transparencia.cidesi.mx/comprobantes/2021/CQ2100672 /C6FACTURA_1629472439791_341443547.xml</v>
      </c>
      <c r="AP116" t="s">
        <v>423</v>
      </c>
      <c r="AQ116" t="s">
        <v>424</v>
      </c>
      <c r="AR116" t="s">
        <v>425</v>
      </c>
      <c r="AS116" t="s">
        <v>426</v>
      </c>
      <c r="AT116" s="1">
        <v>44431</v>
      </c>
      <c r="AU116" s="1">
        <v>44433</v>
      </c>
    </row>
    <row r="117" spans="1:47" x14ac:dyDescent="0.3">
      <c r="A117" t="s">
        <v>246</v>
      </c>
      <c r="B117" t="s">
        <v>182</v>
      </c>
      <c r="C117" t="s">
        <v>183</v>
      </c>
      <c r="D117">
        <v>392</v>
      </c>
      <c r="E117" t="s">
        <v>403</v>
      </c>
      <c r="F117" t="s">
        <v>404</v>
      </c>
      <c r="G117" t="s">
        <v>405</v>
      </c>
      <c r="H117" t="s">
        <v>419</v>
      </c>
      <c r="I117" t="s">
        <v>54</v>
      </c>
      <c r="J117" t="s">
        <v>420</v>
      </c>
      <c r="K117" t="s">
        <v>56</v>
      </c>
      <c r="L117">
        <v>0</v>
      </c>
      <c r="M117" t="s">
        <v>73</v>
      </c>
      <c r="N117">
        <v>0</v>
      </c>
      <c r="O117" t="s">
        <v>58</v>
      </c>
      <c r="P117" t="s">
        <v>59</v>
      </c>
      <c r="Q117" t="s">
        <v>421</v>
      </c>
      <c r="R117" t="s">
        <v>420</v>
      </c>
      <c r="S117" s="1">
        <v>44424</v>
      </c>
      <c r="T117" s="1">
        <v>44427</v>
      </c>
      <c r="U117">
        <v>37501</v>
      </c>
      <c r="V117" t="s">
        <v>104</v>
      </c>
      <c r="W117" t="s">
        <v>422</v>
      </c>
      <c r="X117" s="1">
        <v>44428</v>
      </c>
      <c r="Y117" t="s">
        <v>63</v>
      </c>
      <c r="Z117">
        <v>700.88</v>
      </c>
      <c r="AA117">
        <v>16</v>
      </c>
      <c r="AB117">
        <v>109.12</v>
      </c>
      <c r="AC117">
        <v>0</v>
      </c>
      <c r="AD117">
        <v>810</v>
      </c>
      <c r="AE117">
        <v>6139.28</v>
      </c>
      <c r="AF117">
        <v>3818</v>
      </c>
      <c r="AG117" t="s">
        <v>410</v>
      </c>
      <c r="AH117" t="s">
        <v>65</v>
      </c>
      <c r="AI117" t="s">
        <v>65</v>
      </c>
      <c r="AJ117" t="s">
        <v>66</v>
      </c>
      <c r="AK117" t="s">
        <v>66</v>
      </c>
      <c r="AL117" t="s">
        <v>66</v>
      </c>
      <c r="AM117" s="2" t="str">
        <f>HYPERLINK("https://transparencia.cidesi.mx/comprobantes/2021/CQ2100672 /C7MAC_ECO000062662_0366587.pdf")</f>
        <v>https://transparencia.cidesi.mx/comprobantes/2021/CQ2100672 /C7MAC_ECO000062662_0366587.pdf</v>
      </c>
      <c r="AN117" t="str">
        <f>HYPERLINK("https://transparencia.cidesi.mx/comprobantes/2021/CQ2100672 /C7MAC_ECO000062662_0366587.pdf")</f>
        <v>https://transparencia.cidesi.mx/comprobantes/2021/CQ2100672 /C7MAC_ECO000062662_0366587.pdf</v>
      </c>
      <c r="AO117" t="str">
        <f>HYPERLINK("https://transparencia.cidesi.mx/comprobantes/2021/CQ2100672 /C7MAC_ECO000062662_0366587.xml")</f>
        <v>https://transparencia.cidesi.mx/comprobantes/2021/CQ2100672 /C7MAC_ECO000062662_0366587.xml</v>
      </c>
      <c r="AP117" t="s">
        <v>423</v>
      </c>
      <c r="AQ117" t="s">
        <v>424</v>
      </c>
      <c r="AR117" t="s">
        <v>425</v>
      </c>
      <c r="AS117" t="s">
        <v>426</v>
      </c>
      <c r="AT117" s="1">
        <v>44431</v>
      </c>
      <c r="AU117" s="1">
        <v>44433</v>
      </c>
    </row>
    <row r="118" spans="1:47" x14ac:dyDescent="0.3">
      <c r="A118" t="s">
        <v>246</v>
      </c>
      <c r="B118" t="s">
        <v>182</v>
      </c>
      <c r="C118" t="s">
        <v>183</v>
      </c>
      <c r="D118">
        <v>392</v>
      </c>
      <c r="E118" t="s">
        <v>403</v>
      </c>
      <c r="F118" t="s">
        <v>404</v>
      </c>
      <c r="G118" t="s">
        <v>405</v>
      </c>
      <c r="H118" t="s">
        <v>419</v>
      </c>
      <c r="I118" t="s">
        <v>54</v>
      </c>
      <c r="J118" t="s">
        <v>420</v>
      </c>
      <c r="K118" t="s">
        <v>56</v>
      </c>
      <c r="L118">
        <v>0</v>
      </c>
      <c r="M118" t="s">
        <v>73</v>
      </c>
      <c r="N118">
        <v>0</v>
      </c>
      <c r="O118" t="s">
        <v>58</v>
      </c>
      <c r="P118" t="s">
        <v>59</v>
      </c>
      <c r="Q118" t="s">
        <v>421</v>
      </c>
      <c r="R118" t="s">
        <v>420</v>
      </c>
      <c r="S118" s="1">
        <v>44424</v>
      </c>
      <c r="T118" s="1">
        <v>44427</v>
      </c>
      <c r="U118">
        <v>37501</v>
      </c>
      <c r="V118" t="s">
        <v>104</v>
      </c>
      <c r="W118" t="s">
        <v>422</v>
      </c>
      <c r="X118" s="1">
        <v>44428</v>
      </c>
      <c r="Y118" t="s">
        <v>63</v>
      </c>
      <c r="Z118">
        <v>649.16</v>
      </c>
      <c r="AA118">
        <v>16</v>
      </c>
      <c r="AB118">
        <v>100.84</v>
      </c>
      <c r="AC118">
        <v>0</v>
      </c>
      <c r="AD118">
        <v>750</v>
      </c>
      <c r="AE118">
        <v>6139.28</v>
      </c>
      <c r="AF118">
        <v>3818</v>
      </c>
      <c r="AG118" t="s">
        <v>410</v>
      </c>
      <c r="AH118" t="s">
        <v>65</v>
      </c>
      <c r="AI118" t="s">
        <v>65</v>
      </c>
      <c r="AJ118" t="s">
        <v>66</v>
      </c>
      <c r="AK118" t="s">
        <v>66</v>
      </c>
      <c r="AL118" t="s">
        <v>66</v>
      </c>
      <c r="AM118" s="2" t="str">
        <f>HYPERLINK("https://transparencia.cidesi.mx/comprobantes/2021/CQ2100672 /C8MAC_ECO000062697_0366627.pdf")</f>
        <v>https://transparencia.cidesi.mx/comprobantes/2021/CQ2100672 /C8MAC_ECO000062697_0366627.pdf</v>
      </c>
      <c r="AN118" t="str">
        <f>HYPERLINK("https://transparencia.cidesi.mx/comprobantes/2021/CQ2100672 /C8MAC_ECO000062697_0366627.pdf")</f>
        <v>https://transparencia.cidesi.mx/comprobantes/2021/CQ2100672 /C8MAC_ECO000062697_0366627.pdf</v>
      </c>
      <c r="AO118" t="str">
        <f>HYPERLINK("https://transparencia.cidesi.mx/comprobantes/2021/CQ2100672 /C8MAC_ECO000062697_0366627.xml")</f>
        <v>https://transparencia.cidesi.mx/comprobantes/2021/CQ2100672 /C8MAC_ECO000062697_0366627.xml</v>
      </c>
      <c r="AP118" t="s">
        <v>423</v>
      </c>
      <c r="AQ118" t="s">
        <v>424</v>
      </c>
      <c r="AR118" t="s">
        <v>425</v>
      </c>
      <c r="AS118" t="s">
        <v>426</v>
      </c>
      <c r="AT118" s="1">
        <v>44431</v>
      </c>
      <c r="AU118" s="1">
        <v>44433</v>
      </c>
    </row>
    <row r="119" spans="1:47" x14ac:dyDescent="0.3">
      <c r="A119" t="s">
        <v>246</v>
      </c>
      <c r="B119" t="s">
        <v>182</v>
      </c>
      <c r="C119" t="s">
        <v>183</v>
      </c>
      <c r="D119">
        <v>392</v>
      </c>
      <c r="E119" t="s">
        <v>403</v>
      </c>
      <c r="F119" t="s">
        <v>404</v>
      </c>
      <c r="G119" t="s">
        <v>405</v>
      </c>
      <c r="H119" t="s">
        <v>419</v>
      </c>
      <c r="I119" t="s">
        <v>54</v>
      </c>
      <c r="J119" t="s">
        <v>420</v>
      </c>
      <c r="K119" t="s">
        <v>56</v>
      </c>
      <c r="L119">
        <v>0</v>
      </c>
      <c r="M119" t="s">
        <v>73</v>
      </c>
      <c r="N119">
        <v>0</v>
      </c>
      <c r="O119" t="s">
        <v>58</v>
      </c>
      <c r="P119" t="s">
        <v>59</v>
      </c>
      <c r="Q119" t="s">
        <v>421</v>
      </c>
      <c r="R119" t="s">
        <v>420</v>
      </c>
      <c r="S119" s="1">
        <v>44424</v>
      </c>
      <c r="T119" s="1">
        <v>44427</v>
      </c>
      <c r="U119">
        <v>37501</v>
      </c>
      <c r="V119" t="s">
        <v>61</v>
      </c>
      <c r="W119" t="s">
        <v>422</v>
      </c>
      <c r="X119" s="1">
        <v>44428</v>
      </c>
      <c r="Y119" t="s">
        <v>63</v>
      </c>
      <c r="Z119">
        <v>332.33</v>
      </c>
      <c r="AA119">
        <v>16</v>
      </c>
      <c r="AB119">
        <v>53.17</v>
      </c>
      <c r="AC119">
        <v>38.549999999999997</v>
      </c>
      <c r="AD119">
        <v>424.05</v>
      </c>
      <c r="AE119">
        <v>6139.28</v>
      </c>
      <c r="AF119">
        <v>3818</v>
      </c>
      <c r="AG119" t="s">
        <v>415</v>
      </c>
      <c r="AH119" t="s">
        <v>65</v>
      </c>
      <c r="AI119" t="s">
        <v>65</v>
      </c>
      <c r="AJ119" t="s">
        <v>66</v>
      </c>
      <c r="AK119" t="s">
        <v>66</v>
      </c>
      <c r="AL119" t="s">
        <v>66</v>
      </c>
      <c r="AM119" s="2" t="str">
        <f>HYPERLINK("https://transparencia.cidesi.mx/comprobantes/2021/CQ2100672 /C9MSG_004660409_DB_24583.pdf")</f>
        <v>https://transparencia.cidesi.mx/comprobantes/2021/CQ2100672 /C9MSG_004660409_DB_24583.pdf</v>
      </c>
      <c r="AN119" t="str">
        <f>HYPERLINK("https://transparencia.cidesi.mx/comprobantes/2021/CQ2100672 /C9MSG_004660409_DB_24583.pdf")</f>
        <v>https://transparencia.cidesi.mx/comprobantes/2021/CQ2100672 /C9MSG_004660409_DB_24583.pdf</v>
      </c>
      <c r="AO119" t="str">
        <f>HYPERLINK("https://transparencia.cidesi.mx/comprobantes/2021/CQ2100672 /C9MSG_004660409_DB_24583.xml")</f>
        <v>https://transparencia.cidesi.mx/comprobantes/2021/CQ2100672 /C9MSG_004660409_DB_24583.xml</v>
      </c>
      <c r="AP119" t="s">
        <v>423</v>
      </c>
      <c r="AQ119" t="s">
        <v>424</v>
      </c>
      <c r="AR119" t="s">
        <v>425</v>
      </c>
      <c r="AS119" t="s">
        <v>426</v>
      </c>
      <c r="AT119" s="1">
        <v>44431</v>
      </c>
      <c r="AU119" s="1">
        <v>44433</v>
      </c>
    </row>
    <row r="120" spans="1:47" x14ac:dyDescent="0.3">
      <c r="A120" t="s">
        <v>246</v>
      </c>
      <c r="B120" t="s">
        <v>182</v>
      </c>
      <c r="C120" t="s">
        <v>183</v>
      </c>
      <c r="D120">
        <v>392</v>
      </c>
      <c r="E120" t="s">
        <v>403</v>
      </c>
      <c r="F120" t="s">
        <v>404</v>
      </c>
      <c r="G120" t="s">
        <v>405</v>
      </c>
      <c r="H120" t="s">
        <v>419</v>
      </c>
      <c r="I120" t="s">
        <v>54</v>
      </c>
      <c r="J120" t="s">
        <v>420</v>
      </c>
      <c r="K120" t="s">
        <v>56</v>
      </c>
      <c r="L120">
        <v>0</v>
      </c>
      <c r="M120" t="s">
        <v>73</v>
      </c>
      <c r="N120">
        <v>0</v>
      </c>
      <c r="O120" t="s">
        <v>58</v>
      </c>
      <c r="P120" t="s">
        <v>59</v>
      </c>
      <c r="Q120" t="s">
        <v>421</v>
      </c>
      <c r="R120" t="s">
        <v>420</v>
      </c>
      <c r="S120" s="1">
        <v>44424</v>
      </c>
      <c r="T120" s="1">
        <v>44427</v>
      </c>
      <c r="U120">
        <v>26102</v>
      </c>
      <c r="V120" t="s">
        <v>280</v>
      </c>
      <c r="W120" t="s">
        <v>422</v>
      </c>
      <c r="X120" s="1">
        <v>44428</v>
      </c>
      <c r="Y120" t="s">
        <v>63</v>
      </c>
      <c r="Z120">
        <v>997.42</v>
      </c>
      <c r="AA120">
        <v>16</v>
      </c>
      <c r="AB120">
        <v>155.6</v>
      </c>
      <c r="AC120">
        <v>0</v>
      </c>
      <c r="AD120">
        <v>1153.02</v>
      </c>
      <c r="AE120">
        <v>6139.28</v>
      </c>
      <c r="AF120">
        <v>3818</v>
      </c>
      <c r="AG120" t="s">
        <v>427</v>
      </c>
      <c r="AH120" t="s">
        <v>65</v>
      </c>
      <c r="AI120" t="s">
        <v>65</v>
      </c>
      <c r="AJ120" t="s">
        <v>66</v>
      </c>
      <c r="AK120" t="s">
        <v>66</v>
      </c>
      <c r="AL120" t="s">
        <v>66</v>
      </c>
      <c r="AM120" s="2" t="str">
        <f>HYPERLINK("https://transparencia.cidesi.mx/comprobantes/2021/CQ2100672 /C10SAU8003152B5_SAi_00327220_CID840309UG7.pdf")</f>
        <v>https://transparencia.cidesi.mx/comprobantes/2021/CQ2100672 /C10SAU8003152B5_SAi_00327220_CID840309UG7.pdf</v>
      </c>
      <c r="AN120" t="str">
        <f>HYPERLINK("https://transparencia.cidesi.mx/comprobantes/2021/CQ2100672 /C10SAU8003152B5_SAi_00327220_CID840309UG7.pdf")</f>
        <v>https://transparencia.cidesi.mx/comprobantes/2021/CQ2100672 /C10SAU8003152B5_SAi_00327220_CID840309UG7.pdf</v>
      </c>
      <c r="AO120" t="str">
        <f>HYPERLINK("https://transparencia.cidesi.mx/comprobantes/2021/CQ2100672 /C10SAU8003152B5_SAi_00327220_CID840309UG7.xml")</f>
        <v>https://transparencia.cidesi.mx/comprobantes/2021/CQ2100672 /C10SAU8003152B5_SAi_00327220_CID840309UG7.xml</v>
      </c>
      <c r="AP120" t="s">
        <v>423</v>
      </c>
      <c r="AQ120" t="s">
        <v>424</v>
      </c>
      <c r="AR120" t="s">
        <v>425</v>
      </c>
      <c r="AS120" t="s">
        <v>426</v>
      </c>
      <c r="AT120" s="1">
        <v>44431</v>
      </c>
      <c r="AU120" s="1">
        <v>44433</v>
      </c>
    </row>
    <row r="121" spans="1:47" x14ac:dyDescent="0.3">
      <c r="A121" t="s">
        <v>246</v>
      </c>
      <c r="B121" t="s">
        <v>182</v>
      </c>
      <c r="C121" t="s">
        <v>183</v>
      </c>
      <c r="D121">
        <v>392</v>
      </c>
      <c r="E121" t="s">
        <v>403</v>
      </c>
      <c r="F121" t="s">
        <v>404</v>
      </c>
      <c r="G121" t="s">
        <v>405</v>
      </c>
      <c r="H121" t="s">
        <v>419</v>
      </c>
      <c r="I121" t="s">
        <v>54</v>
      </c>
      <c r="J121" t="s">
        <v>420</v>
      </c>
      <c r="K121" t="s">
        <v>56</v>
      </c>
      <c r="L121">
        <v>0</v>
      </c>
      <c r="M121" t="s">
        <v>73</v>
      </c>
      <c r="N121">
        <v>0</v>
      </c>
      <c r="O121" t="s">
        <v>58</v>
      </c>
      <c r="P121" t="s">
        <v>59</v>
      </c>
      <c r="Q121" t="s">
        <v>421</v>
      </c>
      <c r="R121" t="s">
        <v>420</v>
      </c>
      <c r="S121" s="1">
        <v>44424</v>
      </c>
      <c r="T121" s="1">
        <v>44427</v>
      </c>
      <c r="U121">
        <v>37501</v>
      </c>
      <c r="V121" t="s">
        <v>94</v>
      </c>
      <c r="W121" t="s">
        <v>422</v>
      </c>
      <c r="X121" s="1">
        <v>44428</v>
      </c>
      <c r="Y121" t="s">
        <v>63</v>
      </c>
      <c r="Z121">
        <v>192.24</v>
      </c>
      <c r="AA121">
        <v>16</v>
      </c>
      <c r="AB121">
        <v>30.76</v>
      </c>
      <c r="AC121">
        <v>0</v>
      </c>
      <c r="AD121">
        <v>223</v>
      </c>
      <c r="AE121">
        <v>6139.28</v>
      </c>
      <c r="AF121">
        <v>3818</v>
      </c>
      <c r="AG121" t="s">
        <v>428</v>
      </c>
      <c r="AH121" t="s">
        <v>66</v>
      </c>
      <c r="AI121" t="s">
        <v>66</v>
      </c>
      <c r="AJ121" t="s">
        <v>66</v>
      </c>
      <c r="AK121" t="s">
        <v>66</v>
      </c>
      <c r="AL121" t="s">
        <v>66</v>
      </c>
      <c r="AM121" s="2" t="s">
        <v>73</v>
      </c>
      <c r="AN121" t="s">
        <v>73</v>
      </c>
      <c r="AO121" t="s">
        <v>73</v>
      </c>
      <c r="AP121" t="s">
        <v>423</v>
      </c>
      <c r="AQ121" t="s">
        <v>424</v>
      </c>
      <c r="AR121" t="s">
        <v>425</v>
      </c>
      <c r="AS121" t="s">
        <v>426</v>
      </c>
      <c r="AT121" s="1">
        <v>44431</v>
      </c>
      <c r="AU121" s="1">
        <v>44433</v>
      </c>
    </row>
    <row r="122" spans="1:47" x14ac:dyDescent="0.3">
      <c r="A122" t="s">
        <v>246</v>
      </c>
      <c r="B122" t="s">
        <v>182</v>
      </c>
      <c r="C122" t="s">
        <v>183</v>
      </c>
      <c r="D122">
        <v>392</v>
      </c>
      <c r="E122" t="s">
        <v>403</v>
      </c>
      <c r="F122" t="s">
        <v>404</v>
      </c>
      <c r="G122" t="s">
        <v>405</v>
      </c>
      <c r="H122" t="s">
        <v>419</v>
      </c>
      <c r="I122" t="s">
        <v>54</v>
      </c>
      <c r="J122" t="s">
        <v>420</v>
      </c>
      <c r="K122" t="s">
        <v>56</v>
      </c>
      <c r="L122">
        <v>0</v>
      </c>
      <c r="M122" t="s">
        <v>73</v>
      </c>
      <c r="N122">
        <v>0</v>
      </c>
      <c r="O122" t="s">
        <v>58</v>
      </c>
      <c r="P122" t="s">
        <v>59</v>
      </c>
      <c r="Q122" t="s">
        <v>421</v>
      </c>
      <c r="R122" t="s">
        <v>420</v>
      </c>
      <c r="S122" s="1">
        <v>44424</v>
      </c>
      <c r="T122" s="1">
        <v>44427</v>
      </c>
      <c r="U122">
        <v>37501</v>
      </c>
      <c r="V122" t="s">
        <v>94</v>
      </c>
      <c r="W122" t="s">
        <v>422</v>
      </c>
      <c r="X122" s="1">
        <v>44428</v>
      </c>
      <c r="Y122" t="s">
        <v>63</v>
      </c>
      <c r="Z122">
        <v>29.31</v>
      </c>
      <c r="AA122">
        <v>16</v>
      </c>
      <c r="AB122">
        <v>4.6900000000000004</v>
      </c>
      <c r="AC122">
        <v>0</v>
      </c>
      <c r="AD122">
        <v>34</v>
      </c>
      <c r="AE122">
        <v>6139.28</v>
      </c>
      <c r="AF122">
        <v>3818</v>
      </c>
      <c r="AG122" t="s">
        <v>428</v>
      </c>
      <c r="AH122" t="s">
        <v>66</v>
      </c>
      <c r="AI122" t="s">
        <v>66</v>
      </c>
      <c r="AJ122" t="s">
        <v>66</v>
      </c>
      <c r="AK122" t="s">
        <v>66</v>
      </c>
      <c r="AL122" t="s">
        <v>66</v>
      </c>
      <c r="AM122" s="2" t="s">
        <v>73</v>
      </c>
      <c r="AN122" t="s">
        <v>73</v>
      </c>
      <c r="AO122" t="s">
        <v>73</v>
      </c>
      <c r="AP122" t="s">
        <v>423</v>
      </c>
      <c r="AQ122" t="s">
        <v>424</v>
      </c>
      <c r="AR122" t="s">
        <v>425</v>
      </c>
      <c r="AS122" t="s">
        <v>426</v>
      </c>
      <c r="AT122" s="1">
        <v>44431</v>
      </c>
      <c r="AU122" s="1">
        <v>44433</v>
      </c>
    </row>
    <row r="123" spans="1:47" x14ac:dyDescent="0.3">
      <c r="A123" t="s">
        <v>246</v>
      </c>
      <c r="B123" t="s">
        <v>182</v>
      </c>
      <c r="C123" t="s">
        <v>183</v>
      </c>
      <c r="D123">
        <v>392</v>
      </c>
      <c r="E123" t="s">
        <v>403</v>
      </c>
      <c r="F123" t="s">
        <v>404</v>
      </c>
      <c r="G123" t="s">
        <v>405</v>
      </c>
      <c r="H123" t="s">
        <v>429</v>
      </c>
      <c r="I123" t="s">
        <v>54</v>
      </c>
      <c r="J123" t="s">
        <v>430</v>
      </c>
      <c r="K123" t="s">
        <v>56</v>
      </c>
      <c r="L123">
        <v>0</v>
      </c>
      <c r="M123" t="s">
        <v>73</v>
      </c>
      <c r="N123">
        <v>0</v>
      </c>
      <c r="O123" t="s">
        <v>58</v>
      </c>
      <c r="P123" t="s">
        <v>59</v>
      </c>
      <c r="Q123" t="s">
        <v>431</v>
      </c>
      <c r="R123" t="s">
        <v>430</v>
      </c>
      <c r="S123" s="1">
        <v>44450</v>
      </c>
      <c r="T123" s="1">
        <v>44456</v>
      </c>
      <c r="U123">
        <v>37501</v>
      </c>
      <c r="V123" t="s">
        <v>104</v>
      </c>
      <c r="W123" t="s">
        <v>432</v>
      </c>
      <c r="X123" s="1">
        <v>44459</v>
      </c>
      <c r="Y123" t="s">
        <v>63</v>
      </c>
      <c r="Z123">
        <v>604.22</v>
      </c>
      <c r="AA123">
        <v>16</v>
      </c>
      <c r="AB123">
        <v>94.78</v>
      </c>
      <c r="AC123">
        <v>0</v>
      </c>
      <c r="AD123">
        <v>699</v>
      </c>
      <c r="AE123">
        <v>7988</v>
      </c>
      <c r="AF123">
        <v>7988</v>
      </c>
      <c r="AG123" t="s">
        <v>410</v>
      </c>
      <c r="AH123" t="s">
        <v>65</v>
      </c>
      <c r="AI123" t="s">
        <v>65</v>
      </c>
      <c r="AJ123" t="s">
        <v>66</v>
      </c>
      <c r="AK123" t="s">
        <v>66</v>
      </c>
      <c r="AL123" t="s">
        <v>66</v>
      </c>
      <c r="AM123" s="2" t="str">
        <f>HYPERLINK("https://transparencia.cidesi.mx/comprobantes/2021/CQ2100828 /C1CIA162.pdf")</f>
        <v>https://transparencia.cidesi.mx/comprobantes/2021/CQ2100828 /C1CIA162.pdf</v>
      </c>
      <c r="AN123" t="str">
        <f>HYPERLINK("https://transparencia.cidesi.mx/comprobantes/2021/CQ2100828 /C1CIA162.pdf")</f>
        <v>https://transparencia.cidesi.mx/comprobantes/2021/CQ2100828 /C1CIA162.pdf</v>
      </c>
      <c r="AO123" t="str">
        <f>HYPERLINK("https://transparencia.cidesi.mx/comprobantes/2021/CQ2100828 /C1CIA840203GI9_CIA_162_CID840309UG7.xml")</f>
        <v>https://transparencia.cidesi.mx/comprobantes/2021/CQ2100828 /C1CIA840203GI9_CIA_162_CID840309UG7.xml</v>
      </c>
      <c r="AP123" t="s">
        <v>433</v>
      </c>
      <c r="AQ123" t="s">
        <v>434</v>
      </c>
      <c r="AR123" t="s">
        <v>425</v>
      </c>
      <c r="AS123" t="s">
        <v>435</v>
      </c>
      <c r="AT123" s="1">
        <v>44460</v>
      </c>
      <c r="AU123" s="1">
        <v>44473</v>
      </c>
    </row>
    <row r="124" spans="1:47" x14ac:dyDescent="0.3">
      <c r="A124" t="s">
        <v>246</v>
      </c>
      <c r="B124" t="s">
        <v>182</v>
      </c>
      <c r="C124" t="s">
        <v>183</v>
      </c>
      <c r="D124">
        <v>392</v>
      </c>
      <c r="E124" t="s">
        <v>403</v>
      </c>
      <c r="F124" t="s">
        <v>404</v>
      </c>
      <c r="G124" t="s">
        <v>405</v>
      </c>
      <c r="H124" t="s">
        <v>429</v>
      </c>
      <c r="I124" t="s">
        <v>54</v>
      </c>
      <c r="J124" t="s">
        <v>430</v>
      </c>
      <c r="K124" t="s">
        <v>56</v>
      </c>
      <c r="L124">
        <v>0</v>
      </c>
      <c r="M124" t="s">
        <v>73</v>
      </c>
      <c r="N124">
        <v>0</v>
      </c>
      <c r="O124" t="s">
        <v>58</v>
      </c>
      <c r="P124" t="s">
        <v>59</v>
      </c>
      <c r="Q124" t="s">
        <v>431</v>
      </c>
      <c r="R124" t="s">
        <v>430</v>
      </c>
      <c r="S124" s="1">
        <v>44450</v>
      </c>
      <c r="T124" s="1">
        <v>44456</v>
      </c>
      <c r="U124">
        <v>37501</v>
      </c>
      <c r="V124" t="s">
        <v>104</v>
      </c>
      <c r="W124" t="s">
        <v>432</v>
      </c>
      <c r="X124" s="1">
        <v>44459</v>
      </c>
      <c r="Y124" t="s">
        <v>63</v>
      </c>
      <c r="Z124">
        <v>672.41</v>
      </c>
      <c r="AA124">
        <v>16</v>
      </c>
      <c r="AB124">
        <v>107.59</v>
      </c>
      <c r="AC124">
        <v>0</v>
      </c>
      <c r="AD124">
        <v>780</v>
      </c>
      <c r="AE124">
        <v>7988</v>
      </c>
      <c r="AF124">
        <v>7988</v>
      </c>
      <c r="AG124" t="s">
        <v>410</v>
      </c>
      <c r="AH124" t="s">
        <v>65</v>
      </c>
      <c r="AI124" t="s">
        <v>65</v>
      </c>
      <c r="AJ124" t="s">
        <v>66</v>
      </c>
      <c r="AK124" t="s">
        <v>66</v>
      </c>
      <c r="AL124" t="s">
        <v>66</v>
      </c>
      <c r="AM124" s="2" t="str">
        <f>HYPERLINK("https://transparencia.cidesi.mx/comprobantes/2021/CQ2100828 /C2F0000000045.pdf")</f>
        <v>https://transparencia.cidesi.mx/comprobantes/2021/CQ2100828 /C2F0000000045.pdf</v>
      </c>
      <c r="AN124" t="str">
        <f>HYPERLINK("https://transparencia.cidesi.mx/comprobantes/2021/CQ2100828 /C2F0000000045.pdf")</f>
        <v>https://transparencia.cidesi.mx/comprobantes/2021/CQ2100828 /C2F0000000045.pdf</v>
      </c>
      <c r="AO124" t="str">
        <f>HYPERLINK("https://transparencia.cidesi.mx/comprobantes/2021/CQ2100828 /C2F0000000045.xml")</f>
        <v>https://transparencia.cidesi.mx/comprobantes/2021/CQ2100828 /C2F0000000045.xml</v>
      </c>
      <c r="AP124" t="s">
        <v>433</v>
      </c>
      <c r="AQ124" t="s">
        <v>434</v>
      </c>
      <c r="AR124" t="s">
        <v>425</v>
      </c>
      <c r="AS124" t="s">
        <v>435</v>
      </c>
      <c r="AT124" s="1">
        <v>44460</v>
      </c>
      <c r="AU124" s="1">
        <v>44473</v>
      </c>
    </row>
    <row r="125" spans="1:47" x14ac:dyDescent="0.3">
      <c r="A125" t="s">
        <v>246</v>
      </c>
      <c r="B125" t="s">
        <v>182</v>
      </c>
      <c r="C125" t="s">
        <v>183</v>
      </c>
      <c r="D125">
        <v>392</v>
      </c>
      <c r="E125" t="s">
        <v>403</v>
      </c>
      <c r="F125" t="s">
        <v>404</v>
      </c>
      <c r="G125" t="s">
        <v>405</v>
      </c>
      <c r="H125" t="s">
        <v>429</v>
      </c>
      <c r="I125" t="s">
        <v>54</v>
      </c>
      <c r="J125" t="s">
        <v>430</v>
      </c>
      <c r="K125" t="s">
        <v>56</v>
      </c>
      <c r="L125">
        <v>0</v>
      </c>
      <c r="M125" t="s">
        <v>73</v>
      </c>
      <c r="N125">
        <v>0</v>
      </c>
      <c r="O125" t="s">
        <v>58</v>
      </c>
      <c r="P125" t="s">
        <v>59</v>
      </c>
      <c r="Q125" t="s">
        <v>431</v>
      </c>
      <c r="R125" t="s">
        <v>430</v>
      </c>
      <c r="S125" s="1">
        <v>44450</v>
      </c>
      <c r="T125" s="1">
        <v>44456</v>
      </c>
      <c r="U125">
        <v>37501</v>
      </c>
      <c r="V125" t="s">
        <v>104</v>
      </c>
      <c r="W125" t="s">
        <v>432</v>
      </c>
      <c r="X125" s="1">
        <v>44459</v>
      </c>
      <c r="Y125" t="s">
        <v>63</v>
      </c>
      <c r="Z125">
        <v>1038.67</v>
      </c>
      <c r="AA125">
        <v>16</v>
      </c>
      <c r="AB125">
        <v>161.35</v>
      </c>
      <c r="AC125">
        <v>0</v>
      </c>
      <c r="AD125">
        <v>1200.02</v>
      </c>
      <c r="AE125">
        <v>7988</v>
      </c>
      <c r="AF125">
        <v>7988</v>
      </c>
      <c r="AG125" t="s">
        <v>410</v>
      </c>
      <c r="AH125" t="s">
        <v>65</v>
      </c>
      <c r="AI125" t="s">
        <v>65</v>
      </c>
      <c r="AJ125" t="s">
        <v>66</v>
      </c>
      <c r="AK125" t="s">
        <v>66</v>
      </c>
      <c r="AL125" t="s">
        <v>66</v>
      </c>
      <c r="AM125" s="2" t="str">
        <f>HYPERLINK("https://transparencia.cidesi.mx/comprobantes/2021/CQ2100828 /C3F0000066152.pdf")</f>
        <v>https://transparencia.cidesi.mx/comprobantes/2021/CQ2100828 /C3F0000066152.pdf</v>
      </c>
      <c r="AN125" t="str">
        <f>HYPERLINK("https://transparencia.cidesi.mx/comprobantes/2021/CQ2100828 /C3F0000066152.pdf")</f>
        <v>https://transparencia.cidesi.mx/comprobantes/2021/CQ2100828 /C3F0000066152.pdf</v>
      </c>
      <c r="AO125" t="str">
        <f>HYPERLINK("https://transparencia.cidesi.mx/comprobantes/2021/CQ2100828 /C3F0000066152.xml")</f>
        <v>https://transparencia.cidesi.mx/comprobantes/2021/CQ2100828 /C3F0000066152.xml</v>
      </c>
      <c r="AP125" t="s">
        <v>433</v>
      </c>
      <c r="AQ125" t="s">
        <v>434</v>
      </c>
      <c r="AR125" t="s">
        <v>425</v>
      </c>
      <c r="AS125" t="s">
        <v>435</v>
      </c>
      <c r="AT125" s="1">
        <v>44460</v>
      </c>
      <c r="AU125" s="1">
        <v>44473</v>
      </c>
    </row>
    <row r="126" spans="1:47" x14ac:dyDescent="0.3">
      <c r="A126" t="s">
        <v>246</v>
      </c>
      <c r="B126" t="s">
        <v>182</v>
      </c>
      <c r="C126" t="s">
        <v>183</v>
      </c>
      <c r="D126">
        <v>392</v>
      </c>
      <c r="E126" t="s">
        <v>403</v>
      </c>
      <c r="F126" t="s">
        <v>404</v>
      </c>
      <c r="G126" t="s">
        <v>405</v>
      </c>
      <c r="H126" t="s">
        <v>429</v>
      </c>
      <c r="I126" t="s">
        <v>54</v>
      </c>
      <c r="J126" t="s">
        <v>430</v>
      </c>
      <c r="K126" t="s">
        <v>56</v>
      </c>
      <c r="L126">
        <v>0</v>
      </c>
      <c r="M126" t="s">
        <v>73</v>
      </c>
      <c r="N126">
        <v>0</v>
      </c>
      <c r="O126" t="s">
        <v>58</v>
      </c>
      <c r="P126" t="s">
        <v>59</v>
      </c>
      <c r="Q126" t="s">
        <v>431</v>
      </c>
      <c r="R126" t="s">
        <v>430</v>
      </c>
      <c r="S126" s="1">
        <v>44450</v>
      </c>
      <c r="T126" s="1">
        <v>44456</v>
      </c>
      <c r="U126">
        <v>37501</v>
      </c>
      <c r="V126" t="s">
        <v>104</v>
      </c>
      <c r="W126" t="s">
        <v>432</v>
      </c>
      <c r="X126" s="1">
        <v>44459</v>
      </c>
      <c r="Y126" t="s">
        <v>63</v>
      </c>
      <c r="Z126">
        <v>632.4</v>
      </c>
      <c r="AA126">
        <v>16</v>
      </c>
      <c r="AB126">
        <v>99.2</v>
      </c>
      <c r="AC126">
        <v>0</v>
      </c>
      <c r="AD126">
        <v>731.6</v>
      </c>
      <c r="AE126">
        <v>7988</v>
      </c>
      <c r="AF126">
        <v>7988</v>
      </c>
      <c r="AG126" t="s">
        <v>410</v>
      </c>
      <c r="AH126" t="s">
        <v>65</v>
      </c>
      <c r="AI126" t="s">
        <v>65</v>
      </c>
      <c r="AJ126" t="s">
        <v>66</v>
      </c>
      <c r="AK126" t="s">
        <v>66</v>
      </c>
      <c r="AL126" t="s">
        <v>66</v>
      </c>
      <c r="AM126" s="2" t="str">
        <f>HYPERLINK("https://transparencia.cidesi.mx/comprobantes/2021/CQ2100828 /C4FA0000023029.pdf")</f>
        <v>https://transparencia.cidesi.mx/comprobantes/2021/CQ2100828 /C4FA0000023029.pdf</v>
      </c>
      <c r="AN126" t="str">
        <f>HYPERLINK("https://transparencia.cidesi.mx/comprobantes/2021/CQ2100828 /C4FA0000023029.pdf")</f>
        <v>https://transparencia.cidesi.mx/comprobantes/2021/CQ2100828 /C4FA0000023029.pdf</v>
      </c>
      <c r="AO126" t="str">
        <f>HYPERLINK("https://transparencia.cidesi.mx/comprobantes/2021/CQ2100828 /C4FA0000023029.xml")</f>
        <v>https://transparencia.cidesi.mx/comprobantes/2021/CQ2100828 /C4FA0000023029.xml</v>
      </c>
      <c r="AP126" t="s">
        <v>433</v>
      </c>
      <c r="AQ126" t="s">
        <v>434</v>
      </c>
      <c r="AR126" t="s">
        <v>425</v>
      </c>
      <c r="AS126" t="s">
        <v>435</v>
      </c>
      <c r="AT126" s="1">
        <v>44460</v>
      </c>
      <c r="AU126" s="1">
        <v>44473</v>
      </c>
    </row>
    <row r="127" spans="1:47" x14ac:dyDescent="0.3">
      <c r="A127" t="s">
        <v>246</v>
      </c>
      <c r="B127" t="s">
        <v>182</v>
      </c>
      <c r="C127" t="s">
        <v>183</v>
      </c>
      <c r="D127">
        <v>392</v>
      </c>
      <c r="E127" t="s">
        <v>403</v>
      </c>
      <c r="F127" t="s">
        <v>404</v>
      </c>
      <c r="G127" t="s">
        <v>405</v>
      </c>
      <c r="H127" t="s">
        <v>429</v>
      </c>
      <c r="I127" t="s">
        <v>54</v>
      </c>
      <c r="J127" t="s">
        <v>430</v>
      </c>
      <c r="K127" t="s">
        <v>56</v>
      </c>
      <c r="L127">
        <v>0</v>
      </c>
      <c r="M127" t="s">
        <v>73</v>
      </c>
      <c r="N127">
        <v>0</v>
      </c>
      <c r="O127" t="s">
        <v>58</v>
      </c>
      <c r="P127" t="s">
        <v>59</v>
      </c>
      <c r="Q127" t="s">
        <v>431</v>
      </c>
      <c r="R127" t="s">
        <v>430</v>
      </c>
      <c r="S127" s="1">
        <v>44450</v>
      </c>
      <c r="T127" s="1">
        <v>44456</v>
      </c>
      <c r="U127">
        <v>37501</v>
      </c>
      <c r="V127" t="s">
        <v>104</v>
      </c>
      <c r="W127" t="s">
        <v>432</v>
      </c>
      <c r="X127" s="1">
        <v>44459</v>
      </c>
      <c r="Y127" t="s">
        <v>63</v>
      </c>
      <c r="Z127">
        <v>623.19000000000005</v>
      </c>
      <c r="AA127">
        <v>16</v>
      </c>
      <c r="AB127">
        <v>96.81</v>
      </c>
      <c r="AC127">
        <v>0</v>
      </c>
      <c r="AD127">
        <v>720</v>
      </c>
      <c r="AE127">
        <v>7988</v>
      </c>
      <c r="AF127">
        <v>7988</v>
      </c>
      <c r="AG127" t="s">
        <v>410</v>
      </c>
      <c r="AH127" t="s">
        <v>65</v>
      </c>
      <c r="AI127" t="s">
        <v>65</v>
      </c>
      <c r="AJ127" t="s">
        <v>66</v>
      </c>
      <c r="AK127" t="s">
        <v>66</v>
      </c>
      <c r="AL127" t="s">
        <v>66</v>
      </c>
      <c r="AM127" s="2" t="str">
        <f>HYPERLINK("https://transparencia.cidesi.mx/comprobantes/2021/CQ2100828 /C5F-F18225.pdf")</f>
        <v>https://transparencia.cidesi.mx/comprobantes/2021/CQ2100828 /C5F-F18225.pdf</v>
      </c>
      <c r="AN127" t="str">
        <f>HYPERLINK("https://transparencia.cidesi.mx/comprobantes/2021/CQ2100828 /C5F-F18225.pdf")</f>
        <v>https://transparencia.cidesi.mx/comprobantes/2021/CQ2100828 /C5F-F18225.pdf</v>
      </c>
      <c r="AO127" t="str">
        <f>HYPERLINK("https://transparencia.cidesi.mx/comprobantes/2021/CQ2100828 /C5F-F18225.xml")</f>
        <v>https://transparencia.cidesi.mx/comprobantes/2021/CQ2100828 /C5F-F18225.xml</v>
      </c>
      <c r="AP127" t="s">
        <v>433</v>
      </c>
      <c r="AQ127" t="s">
        <v>434</v>
      </c>
      <c r="AR127" t="s">
        <v>425</v>
      </c>
      <c r="AS127" t="s">
        <v>435</v>
      </c>
      <c r="AT127" s="1">
        <v>44460</v>
      </c>
      <c r="AU127" s="1">
        <v>44473</v>
      </c>
    </row>
    <row r="128" spans="1:47" x14ac:dyDescent="0.3">
      <c r="A128" t="s">
        <v>246</v>
      </c>
      <c r="B128" t="s">
        <v>182</v>
      </c>
      <c r="C128" t="s">
        <v>183</v>
      </c>
      <c r="D128">
        <v>392</v>
      </c>
      <c r="E128" t="s">
        <v>403</v>
      </c>
      <c r="F128" t="s">
        <v>404</v>
      </c>
      <c r="G128" t="s">
        <v>405</v>
      </c>
      <c r="H128" t="s">
        <v>429</v>
      </c>
      <c r="I128" t="s">
        <v>54</v>
      </c>
      <c r="J128" t="s">
        <v>430</v>
      </c>
      <c r="K128" t="s">
        <v>56</v>
      </c>
      <c r="L128">
        <v>0</v>
      </c>
      <c r="M128" t="s">
        <v>73</v>
      </c>
      <c r="N128">
        <v>0</v>
      </c>
      <c r="O128" t="s">
        <v>58</v>
      </c>
      <c r="P128" t="s">
        <v>59</v>
      </c>
      <c r="Q128" t="s">
        <v>431</v>
      </c>
      <c r="R128" t="s">
        <v>430</v>
      </c>
      <c r="S128" s="1">
        <v>44450</v>
      </c>
      <c r="T128" s="1">
        <v>44456</v>
      </c>
      <c r="U128">
        <v>37501</v>
      </c>
      <c r="V128" t="s">
        <v>61</v>
      </c>
      <c r="W128" t="s">
        <v>432</v>
      </c>
      <c r="X128" s="1">
        <v>44459</v>
      </c>
      <c r="Y128" t="s">
        <v>63</v>
      </c>
      <c r="Z128">
        <v>327.58999999999997</v>
      </c>
      <c r="AA128">
        <v>16</v>
      </c>
      <c r="AB128">
        <v>52.41</v>
      </c>
      <c r="AC128">
        <v>38</v>
      </c>
      <c r="AD128">
        <v>418</v>
      </c>
      <c r="AE128">
        <v>7988</v>
      </c>
      <c r="AF128">
        <v>7988</v>
      </c>
      <c r="AG128" t="s">
        <v>415</v>
      </c>
      <c r="AH128" t="s">
        <v>65</v>
      </c>
      <c r="AI128" t="s">
        <v>65</v>
      </c>
      <c r="AJ128" t="s">
        <v>66</v>
      </c>
      <c r="AK128" t="s">
        <v>66</v>
      </c>
      <c r="AL128" t="s">
        <v>66</v>
      </c>
      <c r="AM128" s="2" t="str">
        <f>HYPERLINK("https://transparencia.cidesi.mx/comprobantes/2021/CQ2100828 /C7090df5b6-f8a2-45a2-b867-d4317e312c2e.pdf")</f>
        <v>https://transparencia.cidesi.mx/comprobantes/2021/CQ2100828 /C7090df5b6-f8a2-45a2-b867-d4317e312c2e.pdf</v>
      </c>
      <c r="AN128" t="str">
        <f>HYPERLINK("https://transparencia.cidesi.mx/comprobantes/2021/CQ2100828 /C7090df5b6-f8a2-45a2-b867-d4317e312c2e.pdf")</f>
        <v>https://transparencia.cidesi.mx/comprobantes/2021/CQ2100828 /C7090df5b6-f8a2-45a2-b867-d4317e312c2e.pdf</v>
      </c>
      <c r="AO128" t="str">
        <f>HYPERLINK("https://transparencia.cidesi.mx/comprobantes/2021/CQ2100828 /C7090df5b6-f8a2-45a2-b867-d4317e312c2e.xml")</f>
        <v>https://transparencia.cidesi.mx/comprobantes/2021/CQ2100828 /C7090df5b6-f8a2-45a2-b867-d4317e312c2e.xml</v>
      </c>
      <c r="AP128" t="s">
        <v>433</v>
      </c>
      <c r="AQ128" t="s">
        <v>434</v>
      </c>
      <c r="AR128" t="s">
        <v>425</v>
      </c>
      <c r="AS128" t="s">
        <v>435</v>
      </c>
      <c r="AT128" s="1">
        <v>44460</v>
      </c>
      <c r="AU128" s="1">
        <v>44473</v>
      </c>
    </row>
    <row r="129" spans="1:47" x14ac:dyDescent="0.3">
      <c r="A129" t="s">
        <v>246</v>
      </c>
      <c r="B129" t="s">
        <v>182</v>
      </c>
      <c r="C129" t="s">
        <v>183</v>
      </c>
      <c r="D129">
        <v>392</v>
      </c>
      <c r="E129" t="s">
        <v>403</v>
      </c>
      <c r="F129" t="s">
        <v>404</v>
      </c>
      <c r="G129" t="s">
        <v>405</v>
      </c>
      <c r="H129" t="s">
        <v>429</v>
      </c>
      <c r="I129" t="s">
        <v>54</v>
      </c>
      <c r="J129" t="s">
        <v>430</v>
      </c>
      <c r="K129" t="s">
        <v>56</v>
      </c>
      <c r="L129">
        <v>0</v>
      </c>
      <c r="M129" t="s">
        <v>73</v>
      </c>
      <c r="N129">
        <v>0</v>
      </c>
      <c r="O129" t="s">
        <v>58</v>
      </c>
      <c r="P129" t="s">
        <v>59</v>
      </c>
      <c r="Q129" t="s">
        <v>431</v>
      </c>
      <c r="R129" t="s">
        <v>430</v>
      </c>
      <c r="S129" s="1">
        <v>44450</v>
      </c>
      <c r="T129" s="1">
        <v>44456</v>
      </c>
      <c r="U129">
        <v>37501</v>
      </c>
      <c r="V129" t="s">
        <v>61</v>
      </c>
      <c r="W129" t="s">
        <v>432</v>
      </c>
      <c r="X129" s="1">
        <v>44459</v>
      </c>
      <c r="Y129" t="s">
        <v>63</v>
      </c>
      <c r="Z129">
        <v>204.31</v>
      </c>
      <c r="AA129">
        <v>16</v>
      </c>
      <c r="AB129">
        <v>32.69</v>
      </c>
      <c r="AC129">
        <v>23.7</v>
      </c>
      <c r="AD129">
        <v>260.7</v>
      </c>
      <c r="AE129">
        <v>7988</v>
      </c>
      <c r="AF129">
        <v>7988</v>
      </c>
      <c r="AG129" t="s">
        <v>415</v>
      </c>
      <c r="AH129" t="s">
        <v>65</v>
      </c>
      <c r="AI129" t="s">
        <v>65</v>
      </c>
      <c r="AJ129" t="s">
        <v>66</v>
      </c>
      <c r="AK129" t="s">
        <v>66</v>
      </c>
      <c r="AL129" t="s">
        <v>66</v>
      </c>
      <c r="AM129" s="2" t="str">
        <f>HYPERLINK("https://transparencia.cidesi.mx/comprobantes/2021/CQ2100828 /C8AA9693.pdf")</f>
        <v>https://transparencia.cidesi.mx/comprobantes/2021/CQ2100828 /C8AA9693.pdf</v>
      </c>
      <c r="AN129" t="str">
        <f>HYPERLINK("https://transparencia.cidesi.mx/comprobantes/2021/CQ2100828 /C8AA9693.pdf")</f>
        <v>https://transparencia.cidesi.mx/comprobantes/2021/CQ2100828 /C8AA9693.pdf</v>
      </c>
      <c r="AO129" t="str">
        <f>HYPERLINK("https://transparencia.cidesi.mx/comprobantes/2021/CQ2100828 /C8AA9693.xml")</f>
        <v>https://transparencia.cidesi.mx/comprobantes/2021/CQ2100828 /C8AA9693.xml</v>
      </c>
      <c r="AP129" t="s">
        <v>433</v>
      </c>
      <c r="AQ129" t="s">
        <v>434</v>
      </c>
      <c r="AR129" t="s">
        <v>425</v>
      </c>
      <c r="AS129" t="s">
        <v>435</v>
      </c>
      <c r="AT129" s="1">
        <v>44460</v>
      </c>
      <c r="AU129" s="1">
        <v>44473</v>
      </c>
    </row>
    <row r="130" spans="1:47" x14ac:dyDescent="0.3">
      <c r="A130" t="s">
        <v>246</v>
      </c>
      <c r="B130" t="s">
        <v>182</v>
      </c>
      <c r="C130" t="s">
        <v>183</v>
      </c>
      <c r="D130">
        <v>392</v>
      </c>
      <c r="E130" t="s">
        <v>403</v>
      </c>
      <c r="F130" t="s">
        <v>404</v>
      </c>
      <c r="G130" t="s">
        <v>405</v>
      </c>
      <c r="H130" t="s">
        <v>429</v>
      </c>
      <c r="I130" t="s">
        <v>54</v>
      </c>
      <c r="J130" t="s">
        <v>430</v>
      </c>
      <c r="K130" t="s">
        <v>56</v>
      </c>
      <c r="L130">
        <v>0</v>
      </c>
      <c r="M130" t="s">
        <v>73</v>
      </c>
      <c r="N130">
        <v>0</v>
      </c>
      <c r="O130" t="s">
        <v>58</v>
      </c>
      <c r="P130" t="s">
        <v>59</v>
      </c>
      <c r="Q130" t="s">
        <v>431</v>
      </c>
      <c r="R130" t="s">
        <v>430</v>
      </c>
      <c r="S130" s="1">
        <v>44450</v>
      </c>
      <c r="T130" s="1">
        <v>44456</v>
      </c>
      <c r="U130">
        <v>37501</v>
      </c>
      <c r="V130" t="s">
        <v>61</v>
      </c>
      <c r="W130" t="s">
        <v>432</v>
      </c>
      <c r="X130" s="1">
        <v>44459</v>
      </c>
      <c r="Y130" t="s">
        <v>63</v>
      </c>
      <c r="Z130">
        <v>150.86000000000001</v>
      </c>
      <c r="AA130">
        <v>16</v>
      </c>
      <c r="AB130">
        <v>24.14</v>
      </c>
      <c r="AC130">
        <v>17.5</v>
      </c>
      <c r="AD130">
        <v>192.5</v>
      </c>
      <c r="AE130">
        <v>7988</v>
      </c>
      <c r="AF130">
        <v>7988</v>
      </c>
      <c r="AG130" t="s">
        <v>415</v>
      </c>
      <c r="AH130" t="s">
        <v>65</v>
      </c>
      <c r="AI130" t="s">
        <v>65</v>
      </c>
      <c r="AJ130" t="s">
        <v>66</v>
      </c>
      <c r="AK130" t="s">
        <v>66</v>
      </c>
      <c r="AL130" t="s">
        <v>66</v>
      </c>
      <c r="AM130" s="2" t="str">
        <f>HYPERLINK("https://transparencia.cidesi.mx/comprobantes/2021/CQ2100828 /C9CID840309UG7_TIWEBDF6569069.pdf")</f>
        <v>https://transparencia.cidesi.mx/comprobantes/2021/CQ2100828 /C9CID840309UG7_TIWEBDF6569069.pdf</v>
      </c>
      <c r="AN130" t="str">
        <f>HYPERLINK("https://transparencia.cidesi.mx/comprobantes/2021/CQ2100828 /C9CID840309UG7_TIWEBDF6569069.pdf")</f>
        <v>https://transparencia.cidesi.mx/comprobantes/2021/CQ2100828 /C9CID840309UG7_TIWEBDF6569069.pdf</v>
      </c>
      <c r="AO130" t="str">
        <f>HYPERLINK("https://transparencia.cidesi.mx/comprobantes/2021/CQ2100828 /C9CID840309UG7_TIWEBDF6569069.xml")</f>
        <v>https://transparencia.cidesi.mx/comprobantes/2021/CQ2100828 /C9CID840309UG7_TIWEBDF6569069.xml</v>
      </c>
      <c r="AP130" t="s">
        <v>433</v>
      </c>
      <c r="AQ130" t="s">
        <v>434</v>
      </c>
      <c r="AR130" t="s">
        <v>425</v>
      </c>
      <c r="AS130" t="s">
        <v>435</v>
      </c>
      <c r="AT130" s="1">
        <v>44460</v>
      </c>
      <c r="AU130" s="1">
        <v>44473</v>
      </c>
    </row>
    <row r="131" spans="1:47" x14ac:dyDescent="0.3">
      <c r="A131" t="s">
        <v>246</v>
      </c>
      <c r="B131" t="s">
        <v>182</v>
      </c>
      <c r="C131" t="s">
        <v>183</v>
      </c>
      <c r="D131">
        <v>392</v>
      </c>
      <c r="E131" t="s">
        <v>403</v>
      </c>
      <c r="F131" t="s">
        <v>404</v>
      </c>
      <c r="G131" t="s">
        <v>405</v>
      </c>
      <c r="H131" t="s">
        <v>429</v>
      </c>
      <c r="I131" t="s">
        <v>54</v>
      </c>
      <c r="J131" t="s">
        <v>430</v>
      </c>
      <c r="K131" t="s">
        <v>56</v>
      </c>
      <c r="L131">
        <v>0</v>
      </c>
      <c r="M131" t="s">
        <v>73</v>
      </c>
      <c r="N131">
        <v>0</v>
      </c>
      <c r="O131" t="s">
        <v>58</v>
      </c>
      <c r="P131" t="s">
        <v>59</v>
      </c>
      <c r="Q131" t="s">
        <v>431</v>
      </c>
      <c r="R131" t="s">
        <v>430</v>
      </c>
      <c r="S131" s="1">
        <v>44450</v>
      </c>
      <c r="T131" s="1">
        <v>44456</v>
      </c>
      <c r="U131">
        <v>37501</v>
      </c>
      <c r="V131" t="s">
        <v>61</v>
      </c>
      <c r="W131" t="s">
        <v>432</v>
      </c>
      <c r="X131" s="1">
        <v>44459</v>
      </c>
      <c r="Y131" t="s">
        <v>63</v>
      </c>
      <c r="Z131">
        <v>372.41</v>
      </c>
      <c r="AA131">
        <v>16</v>
      </c>
      <c r="AB131">
        <v>59.59</v>
      </c>
      <c r="AC131">
        <v>43.2</v>
      </c>
      <c r="AD131">
        <v>475.2</v>
      </c>
      <c r="AE131">
        <v>7988</v>
      </c>
      <c r="AF131">
        <v>7988</v>
      </c>
      <c r="AG131" t="s">
        <v>415</v>
      </c>
      <c r="AH131" t="s">
        <v>65</v>
      </c>
      <c r="AI131" t="s">
        <v>65</v>
      </c>
      <c r="AJ131" t="s">
        <v>66</v>
      </c>
      <c r="AK131" t="s">
        <v>66</v>
      </c>
      <c r="AL131" t="s">
        <v>66</v>
      </c>
      <c r="AM131" s="2" t="str">
        <f>HYPERLINK("https://transparencia.cidesi.mx/comprobantes/2021/CQ2100828 /C10CID840309UG7FBB0000014794.pdf")</f>
        <v>https://transparencia.cidesi.mx/comprobantes/2021/CQ2100828 /C10CID840309UG7FBB0000014794.pdf</v>
      </c>
      <c r="AN131" t="str">
        <f>HYPERLINK("https://transparencia.cidesi.mx/comprobantes/2021/CQ2100828 /C10CID840309UG7FBB0000014794.pdf")</f>
        <v>https://transparencia.cidesi.mx/comprobantes/2021/CQ2100828 /C10CID840309UG7FBB0000014794.pdf</v>
      </c>
      <c r="AO131" t="str">
        <f>HYPERLINK("https://transparencia.cidesi.mx/comprobantes/2021/CQ2100828 /C10CID840309UG7FBB0000014794.xml")</f>
        <v>https://transparencia.cidesi.mx/comprobantes/2021/CQ2100828 /C10CID840309UG7FBB0000014794.xml</v>
      </c>
      <c r="AP131" t="s">
        <v>433</v>
      </c>
      <c r="AQ131" t="s">
        <v>434</v>
      </c>
      <c r="AR131" t="s">
        <v>425</v>
      </c>
      <c r="AS131" t="s">
        <v>435</v>
      </c>
      <c r="AT131" s="1">
        <v>44460</v>
      </c>
      <c r="AU131" s="1">
        <v>44473</v>
      </c>
    </row>
    <row r="132" spans="1:47" x14ac:dyDescent="0.3">
      <c r="A132" t="s">
        <v>246</v>
      </c>
      <c r="B132" t="s">
        <v>182</v>
      </c>
      <c r="C132" t="s">
        <v>183</v>
      </c>
      <c r="D132">
        <v>392</v>
      </c>
      <c r="E132" t="s">
        <v>403</v>
      </c>
      <c r="F132" t="s">
        <v>404</v>
      </c>
      <c r="G132" t="s">
        <v>405</v>
      </c>
      <c r="H132" t="s">
        <v>429</v>
      </c>
      <c r="I132" t="s">
        <v>54</v>
      </c>
      <c r="J132" t="s">
        <v>430</v>
      </c>
      <c r="K132" t="s">
        <v>56</v>
      </c>
      <c r="L132">
        <v>0</v>
      </c>
      <c r="M132" t="s">
        <v>73</v>
      </c>
      <c r="N132">
        <v>0</v>
      </c>
      <c r="O132" t="s">
        <v>58</v>
      </c>
      <c r="P132" t="s">
        <v>59</v>
      </c>
      <c r="Q132" t="s">
        <v>431</v>
      </c>
      <c r="R132" t="s">
        <v>430</v>
      </c>
      <c r="S132" s="1">
        <v>44450</v>
      </c>
      <c r="T132" s="1">
        <v>44456</v>
      </c>
      <c r="U132">
        <v>37501</v>
      </c>
      <c r="V132" t="s">
        <v>61</v>
      </c>
      <c r="W132" t="s">
        <v>432</v>
      </c>
      <c r="X132" s="1">
        <v>44459</v>
      </c>
      <c r="Y132" t="s">
        <v>63</v>
      </c>
      <c r="Z132">
        <v>265.52</v>
      </c>
      <c r="AA132">
        <v>16</v>
      </c>
      <c r="AB132">
        <v>42.48</v>
      </c>
      <c r="AC132">
        <v>0</v>
      </c>
      <c r="AD132">
        <v>308</v>
      </c>
      <c r="AE132">
        <v>7988</v>
      </c>
      <c r="AF132">
        <v>7988</v>
      </c>
      <c r="AG132" t="s">
        <v>415</v>
      </c>
      <c r="AH132" t="s">
        <v>65</v>
      </c>
      <c r="AI132" t="s">
        <v>65</v>
      </c>
      <c r="AJ132" t="s">
        <v>66</v>
      </c>
      <c r="AK132" t="s">
        <v>66</v>
      </c>
      <c r="AL132" t="s">
        <v>66</v>
      </c>
      <c r="AM132" s="2" t="str">
        <f>HYPERLINK("https://transparencia.cidesi.mx/comprobantes/2021/CQ2100828 /C11F0000097948.pdf")</f>
        <v>https://transparencia.cidesi.mx/comprobantes/2021/CQ2100828 /C11F0000097948.pdf</v>
      </c>
      <c r="AN132" t="str">
        <f>HYPERLINK("https://transparencia.cidesi.mx/comprobantes/2021/CQ2100828 /C11F0000097948.pdf")</f>
        <v>https://transparencia.cidesi.mx/comprobantes/2021/CQ2100828 /C11F0000097948.pdf</v>
      </c>
      <c r="AO132" t="str">
        <f>HYPERLINK("https://transparencia.cidesi.mx/comprobantes/2021/CQ2100828 /C11F0000097948.xml")</f>
        <v>https://transparencia.cidesi.mx/comprobantes/2021/CQ2100828 /C11F0000097948.xml</v>
      </c>
      <c r="AP132" t="s">
        <v>433</v>
      </c>
      <c r="AQ132" t="s">
        <v>434</v>
      </c>
      <c r="AR132" t="s">
        <v>425</v>
      </c>
      <c r="AS132" t="s">
        <v>435</v>
      </c>
      <c r="AT132" s="1">
        <v>44460</v>
      </c>
      <c r="AU132" s="1">
        <v>44473</v>
      </c>
    </row>
    <row r="133" spans="1:47" x14ac:dyDescent="0.3">
      <c r="A133" t="s">
        <v>246</v>
      </c>
      <c r="B133" t="s">
        <v>182</v>
      </c>
      <c r="C133" t="s">
        <v>183</v>
      </c>
      <c r="D133">
        <v>392</v>
      </c>
      <c r="E133" t="s">
        <v>403</v>
      </c>
      <c r="F133" t="s">
        <v>404</v>
      </c>
      <c r="G133" t="s">
        <v>405</v>
      </c>
      <c r="H133" t="s">
        <v>429</v>
      </c>
      <c r="I133" t="s">
        <v>54</v>
      </c>
      <c r="J133" t="s">
        <v>430</v>
      </c>
      <c r="K133" t="s">
        <v>56</v>
      </c>
      <c r="L133">
        <v>0</v>
      </c>
      <c r="M133" t="s">
        <v>73</v>
      </c>
      <c r="N133">
        <v>0</v>
      </c>
      <c r="O133" t="s">
        <v>58</v>
      </c>
      <c r="P133" t="s">
        <v>59</v>
      </c>
      <c r="Q133" t="s">
        <v>431</v>
      </c>
      <c r="R133" t="s">
        <v>430</v>
      </c>
      <c r="S133" s="1">
        <v>44450</v>
      </c>
      <c r="T133" s="1">
        <v>44456</v>
      </c>
      <c r="U133">
        <v>37501</v>
      </c>
      <c r="V133" t="s">
        <v>61</v>
      </c>
      <c r="W133" t="s">
        <v>432</v>
      </c>
      <c r="X133" s="1">
        <v>44459</v>
      </c>
      <c r="Y133" t="s">
        <v>63</v>
      </c>
      <c r="Z133">
        <v>86.92</v>
      </c>
      <c r="AA133">
        <v>16</v>
      </c>
      <c r="AB133">
        <v>8.08</v>
      </c>
      <c r="AC133">
        <v>0</v>
      </c>
      <c r="AD133">
        <v>95</v>
      </c>
      <c r="AE133">
        <v>7988</v>
      </c>
      <c r="AF133">
        <v>7988</v>
      </c>
      <c r="AG133" t="s">
        <v>415</v>
      </c>
      <c r="AH133" t="s">
        <v>65</v>
      </c>
      <c r="AI133" t="s">
        <v>65</v>
      </c>
      <c r="AJ133" t="s">
        <v>66</v>
      </c>
      <c r="AK133" t="s">
        <v>66</v>
      </c>
      <c r="AL133" t="s">
        <v>66</v>
      </c>
      <c r="AM133" s="2" t="str">
        <f>HYPERLINK("https://transparencia.cidesi.mx/comprobantes/2021/CQ2100828 /C12FACTURA_1631818902787_344901153.pdf")</f>
        <v>https://transparencia.cidesi.mx/comprobantes/2021/CQ2100828 /C12FACTURA_1631818902787_344901153.pdf</v>
      </c>
      <c r="AN133" t="str">
        <f>HYPERLINK("https://transparencia.cidesi.mx/comprobantes/2021/CQ2100828 /C12FACTURA_1631818902787_344901153.pdf")</f>
        <v>https://transparencia.cidesi.mx/comprobantes/2021/CQ2100828 /C12FACTURA_1631818902787_344901153.pdf</v>
      </c>
      <c r="AO133" t="str">
        <f>HYPERLINK("https://transparencia.cidesi.mx/comprobantes/2021/CQ2100828 /C12FACTURA_1631818907197_344901153.xml")</f>
        <v>https://transparencia.cidesi.mx/comprobantes/2021/CQ2100828 /C12FACTURA_1631818907197_344901153.xml</v>
      </c>
      <c r="AP133" t="s">
        <v>433</v>
      </c>
      <c r="AQ133" t="s">
        <v>434</v>
      </c>
      <c r="AR133" t="s">
        <v>425</v>
      </c>
      <c r="AS133" t="s">
        <v>435</v>
      </c>
      <c r="AT133" s="1">
        <v>44460</v>
      </c>
      <c r="AU133" s="1">
        <v>44473</v>
      </c>
    </row>
    <row r="134" spans="1:47" x14ac:dyDescent="0.3">
      <c r="A134" t="s">
        <v>246</v>
      </c>
      <c r="B134" t="s">
        <v>182</v>
      </c>
      <c r="C134" t="s">
        <v>183</v>
      </c>
      <c r="D134">
        <v>392</v>
      </c>
      <c r="E134" t="s">
        <v>403</v>
      </c>
      <c r="F134" t="s">
        <v>404</v>
      </c>
      <c r="G134" t="s">
        <v>405</v>
      </c>
      <c r="H134" t="s">
        <v>429</v>
      </c>
      <c r="I134" t="s">
        <v>54</v>
      </c>
      <c r="J134" t="s">
        <v>430</v>
      </c>
      <c r="K134" t="s">
        <v>56</v>
      </c>
      <c r="L134">
        <v>0</v>
      </c>
      <c r="M134" t="s">
        <v>73</v>
      </c>
      <c r="N134">
        <v>0</v>
      </c>
      <c r="O134" t="s">
        <v>58</v>
      </c>
      <c r="P134" t="s">
        <v>59</v>
      </c>
      <c r="Q134" t="s">
        <v>431</v>
      </c>
      <c r="R134" t="s">
        <v>430</v>
      </c>
      <c r="S134" s="1">
        <v>44450</v>
      </c>
      <c r="T134" s="1">
        <v>44456</v>
      </c>
      <c r="U134">
        <v>37501</v>
      </c>
      <c r="V134" t="s">
        <v>61</v>
      </c>
      <c r="W134" t="s">
        <v>432</v>
      </c>
      <c r="X134" s="1">
        <v>44459</v>
      </c>
      <c r="Y134" t="s">
        <v>63</v>
      </c>
      <c r="Z134">
        <v>82.62</v>
      </c>
      <c r="AA134">
        <v>16</v>
      </c>
      <c r="AB134">
        <v>7.78</v>
      </c>
      <c r="AC134">
        <v>0</v>
      </c>
      <c r="AD134">
        <v>90.4</v>
      </c>
      <c r="AE134">
        <v>7988</v>
      </c>
      <c r="AF134">
        <v>7988</v>
      </c>
      <c r="AG134" t="s">
        <v>415</v>
      </c>
      <c r="AH134" t="s">
        <v>65</v>
      </c>
      <c r="AI134" t="s">
        <v>65</v>
      </c>
      <c r="AJ134" t="s">
        <v>66</v>
      </c>
      <c r="AK134" t="s">
        <v>66</v>
      </c>
      <c r="AL134" t="s">
        <v>66</v>
      </c>
      <c r="AM134" s="2" t="str">
        <f>HYPERLINK("https://transparencia.cidesi.mx/comprobantes/2021/CQ2100828 /C13FACTURA_1631819083887_344901385.pdf")</f>
        <v>https://transparencia.cidesi.mx/comprobantes/2021/CQ2100828 /C13FACTURA_1631819083887_344901385.pdf</v>
      </c>
      <c r="AN134" t="str">
        <f>HYPERLINK("https://transparencia.cidesi.mx/comprobantes/2021/CQ2100828 /C13FACTURA_1631819083887_344901385.pdf")</f>
        <v>https://transparencia.cidesi.mx/comprobantes/2021/CQ2100828 /C13FACTURA_1631819083887_344901385.pdf</v>
      </c>
      <c r="AO134" t="str">
        <f>HYPERLINK("https://transparencia.cidesi.mx/comprobantes/2021/CQ2100828 /C13FACTURA_1631819086167_344901385.xml")</f>
        <v>https://transparencia.cidesi.mx/comprobantes/2021/CQ2100828 /C13FACTURA_1631819086167_344901385.xml</v>
      </c>
      <c r="AP134" t="s">
        <v>433</v>
      </c>
      <c r="AQ134" t="s">
        <v>434</v>
      </c>
      <c r="AR134" t="s">
        <v>425</v>
      </c>
      <c r="AS134" t="s">
        <v>435</v>
      </c>
      <c r="AT134" s="1">
        <v>44460</v>
      </c>
      <c r="AU134" s="1">
        <v>44473</v>
      </c>
    </row>
    <row r="135" spans="1:47" x14ac:dyDescent="0.3">
      <c r="A135" t="s">
        <v>246</v>
      </c>
      <c r="B135" t="s">
        <v>182</v>
      </c>
      <c r="C135" t="s">
        <v>183</v>
      </c>
      <c r="D135">
        <v>392</v>
      </c>
      <c r="E135" t="s">
        <v>403</v>
      </c>
      <c r="F135" t="s">
        <v>404</v>
      </c>
      <c r="G135" t="s">
        <v>405</v>
      </c>
      <c r="H135" t="s">
        <v>429</v>
      </c>
      <c r="I135" t="s">
        <v>54</v>
      </c>
      <c r="J135" t="s">
        <v>430</v>
      </c>
      <c r="K135" t="s">
        <v>56</v>
      </c>
      <c r="L135">
        <v>0</v>
      </c>
      <c r="M135" t="s">
        <v>73</v>
      </c>
      <c r="N135">
        <v>0</v>
      </c>
      <c r="O135" t="s">
        <v>58</v>
      </c>
      <c r="P135" t="s">
        <v>59</v>
      </c>
      <c r="Q135" t="s">
        <v>431</v>
      </c>
      <c r="R135" t="s">
        <v>430</v>
      </c>
      <c r="S135" s="1">
        <v>44450</v>
      </c>
      <c r="T135" s="1">
        <v>44456</v>
      </c>
      <c r="U135">
        <v>37501</v>
      </c>
      <c r="V135" t="s">
        <v>61</v>
      </c>
      <c r="W135" t="s">
        <v>432</v>
      </c>
      <c r="X135" s="1">
        <v>44459</v>
      </c>
      <c r="Y135" t="s">
        <v>63</v>
      </c>
      <c r="Z135">
        <v>44.08</v>
      </c>
      <c r="AA135">
        <v>16</v>
      </c>
      <c r="AB135">
        <v>4.42</v>
      </c>
      <c r="AC135">
        <v>0</v>
      </c>
      <c r="AD135">
        <v>48.5</v>
      </c>
      <c r="AE135">
        <v>7988</v>
      </c>
      <c r="AF135">
        <v>7988</v>
      </c>
      <c r="AG135" t="s">
        <v>415</v>
      </c>
      <c r="AH135" t="s">
        <v>65</v>
      </c>
      <c r="AI135" t="s">
        <v>65</v>
      </c>
      <c r="AJ135" t="s">
        <v>66</v>
      </c>
      <c r="AK135" t="s">
        <v>66</v>
      </c>
      <c r="AL135" t="s">
        <v>66</v>
      </c>
      <c r="AM135" s="2" t="str">
        <f>HYPERLINK("https://transparencia.cidesi.mx/comprobantes/2021/CQ2100828 /C14FACTURA_1632149200422_345200729.pdf")</f>
        <v>https://transparencia.cidesi.mx/comprobantes/2021/CQ2100828 /C14FACTURA_1632149200422_345200729.pdf</v>
      </c>
      <c r="AN135" t="str">
        <f>HYPERLINK("https://transparencia.cidesi.mx/comprobantes/2021/CQ2100828 /C14FACTURA_1632149200422_345200729.pdf")</f>
        <v>https://transparencia.cidesi.mx/comprobantes/2021/CQ2100828 /C14FACTURA_1632149200422_345200729.pdf</v>
      </c>
      <c r="AO135" t="str">
        <f>HYPERLINK("https://transparencia.cidesi.mx/comprobantes/2021/CQ2100828 /C14FACTURA_1632149204792_345200729.xml")</f>
        <v>https://transparencia.cidesi.mx/comprobantes/2021/CQ2100828 /C14FACTURA_1632149204792_345200729.xml</v>
      </c>
      <c r="AP135" t="s">
        <v>433</v>
      </c>
      <c r="AQ135" t="s">
        <v>434</v>
      </c>
      <c r="AR135" t="s">
        <v>425</v>
      </c>
      <c r="AS135" t="s">
        <v>435</v>
      </c>
      <c r="AT135" s="1">
        <v>44460</v>
      </c>
      <c r="AU135" s="1">
        <v>44473</v>
      </c>
    </row>
    <row r="136" spans="1:47" x14ac:dyDescent="0.3">
      <c r="A136" t="s">
        <v>246</v>
      </c>
      <c r="B136" t="s">
        <v>182</v>
      </c>
      <c r="C136" t="s">
        <v>183</v>
      </c>
      <c r="D136">
        <v>392</v>
      </c>
      <c r="E136" t="s">
        <v>403</v>
      </c>
      <c r="F136" t="s">
        <v>404</v>
      </c>
      <c r="G136" t="s">
        <v>405</v>
      </c>
      <c r="H136" t="s">
        <v>429</v>
      </c>
      <c r="I136" t="s">
        <v>54</v>
      </c>
      <c r="J136" t="s">
        <v>430</v>
      </c>
      <c r="K136" t="s">
        <v>56</v>
      </c>
      <c r="L136">
        <v>0</v>
      </c>
      <c r="M136" t="s">
        <v>73</v>
      </c>
      <c r="N136">
        <v>0</v>
      </c>
      <c r="O136" t="s">
        <v>58</v>
      </c>
      <c r="P136" t="s">
        <v>59</v>
      </c>
      <c r="Q136" t="s">
        <v>431</v>
      </c>
      <c r="R136" t="s">
        <v>430</v>
      </c>
      <c r="S136" s="1">
        <v>44450</v>
      </c>
      <c r="T136" s="1">
        <v>44456</v>
      </c>
      <c r="U136">
        <v>37501</v>
      </c>
      <c r="V136" t="s">
        <v>61</v>
      </c>
      <c r="W136" t="s">
        <v>432</v>
      </c>
      <c r="X136" s="1">
        <v>44459</v>
      </c>
      <c r="Y136" t="s">
        <v>63</v>
      </c>
      <c r="Z136">
        <v>110.34</v>
      </c>
      <c r="AA136">
        <v>16</v>
      </c>
      <c r="AB136">
        <v>17.66</v>
      </c>
      <c r="AC136">
        <v>12.8</v>
      </c>
      <c r="AD136">
        <v>140.80000000000001</v>
      </c>
      <c r="AE136">
        <v>7988</v>
      </c>
      <c r="AF136">
        <v>7988</v>
      </c>
      <c r="AG136" t="s">
        <v>415</v>
      </c>
      <c r="AH136" t="s">
        <v>65</v>
      </c>
      <c r="AI136" t="s">
        <v>65</v>
      </c>
      <c r="AJ136" t="s">
        <v>66</v>
      </c>
      <c r="AK136" t="s">
        <v>66</v>
      </c>
      <c r="AL136" t="s">
        <v>66</v>
      </c>
      <c r="AM136" s="2" t="str">
        <f>HYPERLINK("https://transparencia.cidesi.mx/comprobantes/2021/CQ2100828 /C15FacturaA-57.pdf")</f>
        <v>https://transparencia.cidesi.mx/comprobantes/2021/CQ2100828 /C15FacturaA-57.pdf</v>
      </c>
      <c r="AN136" t="str">
        <f>HYPERLINK("https://transparencia.cidesi.mx/comprobantes/2021/CQ2100828 /C15FacturaA-57.pdf")</f>
        <v>https://transparencia.cidesi.mx/comprobantes/2021/CQ2100828 /C15FacturaA-57.pdf</v>
      </c>
      <c r="AO136" t="str">
        <f>HYPERLINK("https://transparencia.cidesi.mx/comprobantes/2021/CQ2100828 /C15FacturaA-57.xml")</f>
        <v>https://transparencia.cidesi.mx/comprobantes/2021/CQ2100828 /C15FacturaA-57.xml</v>
      </c>
      <c r="AP136" t="s">
        <v>433</v>
      </c>
      <c r="AQ136" t="s">
        <v>434</v>
      </c>
      <c r="AR136" t="s">
        <v>425</v>
      </c>
      <c r="AS136" t="s">
        <v>435</v>
      </c>
      <c r="AT136" s="1">
        <v>44460</v>
      </c>
      <c r="AU136" s="1">
        <v>44473</v>
      </c>
    </row>
    <row r="137" spans="1:47" x14ac:dyDescent="0.3">
      <c r="A137" t="s">
        <v>246</v>
      </c>
      <c r="B137" t="s">
        <v>182</v>
      </c>
      <c r="C137" t="s">
        <v>183</v>
      </c>
      <c r="D137">
        <v>392</v>
      </c>
      <c r="E137" t="s">
        <v>403</v>
      </c>
      <c r="F137" t="s">
        <v>404</v>
      </c>
      <c r="G137" t="s">
        <v>405</v>
      </c>
      <c r="H137" t="s">
        <v>429</v>
      </c>
      <c r="I137" t="s">
        <v>54</v>
      </c>
      <c r="J137" t="s">
        <v>430</v>
      </c>
      <c r="K137" t="s">
        <v>56</v>
      </c>
      <c r="L137">
        <v>0</v>
      </c>
      <c r="M137" t="s">
        <v>73</v>
      </c>
      <c r="N137">
        <v>0</v>
      </c>
      <c r="O137" t="s">
        <v>58</v>
      </c>
      <c r="P137" t="s">
        <v>59</v>
      </c>
      <c r="Q137" t="s">
        <v>431</v>
      </c>
      <c r="R137" t="s">
        <v>430</v>
      </c>
      <c r="S137" s="1">
        <v>44450</v>
      </c>
      <c r="T137" s="1">
        <v>44456</v>
      </c>
      <c r="U137">
        <v>37501</v>
      </c>
      <c r="V137" t="s">
        <v>61</v>
      </c>
      <c r="W137" t="s">
        <v>432</v>
      </c>
      <c r="X137" s="1">
        <v>44459</v>
      </c>
      <c r="Y137" t="s">
        <v>63</v>
      </c>
      <c r="Z137">
        <v>306.47000000000003</v>
      </c>
      <c r="AA137">
        <v>16</v>
      </c>
      <c r="AB137">
        <v>49.03</v>
      </c>
      <c r="AC137">
        <v>35.549999999999997</v>
      </c>
      <c r="AD137">
        <v>391.05</v>
      </c>
      <c r="AE137">
        <v>7988</v>
      </c>
      <c r="AF137">
        <v>7988</v>
      </c>
      <c r="AG137" t="s">
        <v>415</v>
      </c>
      <c r="AH137" t="s">
        <v>65</v>
      </c>
      <c r="AI137" t="s">
        <v>65</v>
      </c>
      <c r="AJ137" t="s">
        <v>66</v>
      </c>
      <c r="AK137" t="s">
        <v>66</v>
      </c>
      <c r="AL137" t="s">
        <v>66</v>
      </c>
      <c r="AM137" s="2" t="str">
        <f>HYPERLINK("https://transparencia.cidesi.mx/comprobantes/2021/CQ2100828 /C16FACTURAB7800.pdf")</f>
        <v>https://transparencia.cidesi.mx/comprobantes/2021/CQ2100828 /C16FACTURAB7800.pdf</v>
      </c>
      <c r="AN137" t="str">
        <f>HYPERLINK("https://transparencia.cidesi.mx/comprobantes/2021/CQ2100828 /C16FACTURAB7800.pdf")</f>
        <v>https://transparencia.cidesi.mx/comprobantes/2021/CQ2100828 /C16FACTURAB7800.pdf</v>
      </c>
      <c r="AO137" t="str">
        <f>HYPERLINK("https://transparencia.cidesi.mx/comprobantes/2021/CQ2100828 /C16FACTURAB7800.xml")</f>
        <v>https://transparencia.cidesi.mx/comprobantes/2021/CQ2100828 /C16FACTURAB7800.xml</v>
      </c>
      <c r="AP137" t="s">
        <v>433</v>
      </c>
      <c r="AQ137" t="s">
        <v>434</v>
      </c>
      <c r="AR137" t="s">
        <v>425</v>
      </c>
      <c r="AS137" t="s">
        <v>435</v>
      </c>
      <c r="AT137" s="1">
        <v>44460</v>
      </c>
      <c r="AU137" s="1">
        <v>44473</v>
      </c>
    </row>
    <row r="138" spans="1:47" x14ac:dyDescent="0.3">
      <c r="A138" t="s">
        <v>246</v>
      </c>
      <c r="B138" t="s">
        <v>182</v>
      </c>
      <c r="C138" t="s">
        <v>183</v>
      </c>
      <c r="D138">
        <v>392</v>
      </c>
      <c r="E138" t="s">
        <v>403</v>
      </c>
      <c r="F138" t="s">
        <v>404</v>
      </c>
      <c r="G138" t="s">
        <v>405</v>
      </c>
      <c r="H138" t="s">
        <v>429</v>
      </c>
      <c r="I138" t="s">
        <v>54</v>
      </c>
      <c r="J138" t="s">
        <v>430</v>
      </c>
      <c r="K138" t="s">
        <v>56</v>
      </c>
      <c r="L138">
        <v>0</v>
      </c>
      <c r="M138" t="s">
        <v>73</v>
      </c>
      <c r="N138">
        <v>0</v>
      </c>
      <c r="O138" t="s">
        <v>58</v>
      </c>
      <c r="P138" t="s">
        <v>59</v>
      </c>
      <c r="Q138" t="s">
        <v>431</v>
      </c>
      <c r="R138" t="s">
        <v>430</v>
      </c>
      <c r="S138" s="1">
        <v>44450</v>
      </c>
      <c r="T138" s="1">
        <v>44456</v>
      </c>
      <c r="U138">
        <v>37501</v>
      </c>
      <c r="V138" t="s">
        <v>61</v>
      </c>
      <c r="W138" t="s">
        <v>432</v>
      </c>
      <c r="X138" s="1">
        <v>44459</v>
      </c>
      <c r="Y138" t="s">
        <v>63</v>
      </c>
      <c r="Z138">
        <v>173.28</v>
      </c>
      <c r="AA138">
        <v>16</v>
      </c>
      <c r="AB138">
        <v>27.72</v>
      </c>
      <c r="AC138">
        <v>20.100000000000001</v>
      </c>
      <c r="AD138">
        <v>221.1</v>
      </c>
      <c r="AE138">
        <v>7988</v>
      </c>
      <c r="AF138">
        <v>7988</v>
      </c>
      <c r="AG138" t="s">
        <v>415</v>
      </c>
      <c r="AH138" t="s">
        <v>65</v>
      </c>
      <c r="AI138" t="s">
        <v>65</v>
      </c>
      <c r="AJ138" t="s">
        <v>66</v>
      </c>
      <c r="AK138" t="s">
        <v>66</v>
      </c>
      <c r="AL138" t="s">
        <v>66</v>
      </c>
      <c r="AM138" s="2" t="str">
        <f>HYPERLINK("https://transparencia.cidesi.mx/comprobantes/2021/CQ2100828 /C17FacturaE95715PDF.pdf")</f>
        <v>https://transparencia.cidesi.mx/comprobantes/2021/CQ2100828 /C17FacturaE95715PDF.pdf</v>
      </c>
      <c r="AN138" t="str">
        <f>HYPERLINK("https://transparencia.cidesi.mx/comprobantes/2021/CQ2100828 /C17FacturaE95715PDF.pdf")</f>
        <v>https://transparencia.cidesi.mx/comprobantes/2021/CQ2100828 /C17FacturaE95715PDF.pdf</v>
      </c>
      <c r="AO138" t="str">
        <f>HYPERLINK("https://transparencia.cidesi.mx/comprobantes/2021/CQ2100828 /C17FacturaE95715Timbrada.xml")</f>
        <v>https://transparencia.cidesi.mx/comprobantes/2021/CQ2100828 /C17FacturaE95715Timbrada.xml</v>
      </c>
      <c r="AP138" t="s">
        <v>433</v>
      </c>
      <c r="AQ138" t="s">
        <v>434</v>
      </c>
      <c r="AR138" t="s">
        <v>425</v>
      </c>
      <c r="AS138" t="s">
        <v>435</v>
      </c>
      <c r="AT138" s="1">
        <v>44460</v>
      </c>
      <c r="AU138" s="1">
        <v>44473</v>
      </c>
    </row>
    <row r="139" spans="1:47" x14ac:dyDescent="0.3">
      <c r="A139" t="s">
        <v>246</v>
      </c>
      <c r="B139" t="s">
        <v>182</v>
      </c>
      <c r="C139" t="s">
        <v>183</v>
      </c>
      <c r="D139">
        <v>392</v>
      </c>
      <c r="E139" t="s">
        <v>403</v>
      </c>
      <c r="F139" t="s">
        <v>404</v>
      </c>
      <c r="G139" t="s">
        <v>405</v>
      </c>
      <c r="H139" t="s">
        <v>429</v>
      </c>
      <c r="I139" t="s">
        <v>54</v>
      </c>
      <c r="J139" t="s">
        <v>430</v>
      </c>
      <c r="K139" t="s">
        <v>56</v>
      </c>
      <c r="L139">
        <v>0</v>
      </c>
      <c r="M139" t="s">
        <v>73</v>
      </c>
      <c r="N139">
        <v>0</v>
      </c>
      <c r="O139" t="s">
        <v>58</v>
      </c>
      <c r="P139" t="s">
        <v>59</v>
      </c>
      <c r="Q139" t="s">
        <v>431</v>
      </c>
      <c r="R139" t="s">
        <v>430</v>
      </c>
      <c r="S139" s="1">
        <v>44450</v>
      </c>
      <c r="T139" s="1">
        <v>44456</v>
      </c>
      <c r="U139">
        <v>37501</v>
      </c>
      <c r="V139" t="s">
        <v>61</v>
      </c>
      <c r="W139" t="s">
        <v>432</v>
      </c>
      <c r="X139" s="1">
        <v>44459</v>
      </c>
      <c r="Y139" t="s">
        <v>63</v>
      </c>
      <c r="Z139">
        <v>273.70999999999998</v>
      </c>
      <c r="AA139">
        <v>16</v>
      </c>
      <c r="AB139">
        <v>43.79</v>
      </c>
      <c r="AC139">
        <v>31.75</v>
      </c>
      <c r="AD139">
        <v>349.25</v>
      </c>
      <c r="AE139">
        <v>7988</v>
      </c>
      <c r="AF139">
        <v>7988</v>
      </c>
      <c r="AG139" t="s">
        <v>415</v>
      </c>
      <c r="AH139" t="s">
        <v>65</v>
      </c>
      <c r="AI139" t="s">
        <v>65</v>
      </c>
      <c r="AJ139" t="s">
        <v>66</v>
      </c>
      <c r="AK139" t="s">
        <v>66</v>
      </c>
      <c r="AL139" t="s">
        <v>66</v>
      </c>
      <c r="AM139" s="2" t="str">
        <f>HYPERLINK("https://transparencia.cidesi.mx/comprobantes/2021/CQ2100828 /C18FacturaR19145PDF.pdf")</f>
        <v>https://transparencia.cidesi.mx/comprobantes/2021/CQ2100828 /C18FacturaR19145PDF.pdf</v>
      </c>
      <c r="AN139" t="str">
        <f>HYPERLINK("https://transparencia.cidesi.mx/comprobantes/2021/CQ2100828 /C18FacturaR19145PDF.pdf")</f>
        <v>https://transparencia.cidesi.mx/comprobantes/2021/CQ2100828 /C18FacturaR19145PDF.pdf</v>
      </c>
      <c r="AO139" t="str">
        <f>HYPERLINK("https://transparencia.cidesi.mx/comprobantes/2021/CQ2100828 /C18Factura19145Timbrada.xml")</f>
        <v>https://transparencia.cidesi.mx/comprobantes/2021/CQ2100828 /C18Factura19145Timbrada.xml</v>
      </c>
      <c r="AP139" t="s">
        <v>433</v>
      </c>
      <c r="AQ139" t="s">
        <v>434</v>
      </c>
      <c r="AR139" t="s">
        <v>425</v>
      </c>
      <c r="AS139" t="s">
        <v>435</v>
      </c>
      <c r="AT139" s="1">
        <v>44460</v>
      </c>
      <c r="AU139" s="1">
        <v>44473</v>
      </c>
    </row>
    <row r="140" spans="1:47" x14ac:dyDescent="0.3">
      <c r="A140" t="s">
        <v>246</v>
      </c>
      <c r="B140" t="s">
        <v>182</v>
      </c>
      <c r="C140" t="s">
        <v>183</v>
      </c>
      <c r="D140">
        <v>392</v>
      </c>
      <c r="E140" t="s">
        <v>403</v>
      </c>
      <c r="F140" t="s">
        <v>404</v>
      </c>
      <c r="G140" t="s">
        <v>405</v>
      </c>
      <c r="H140" t="s">
        <v>429</v>
      </c>
      <c r="I140" t="s">
        <v>54</v>
      </c>
      <c r="J140" t="s">
        <v>430</v>
      </c>
      <c r="K140" t="s">
        <v>56</v>
      </c>
      <c r="L140">
        <v>0</v>
      </c>
      <c r="M140" t="s">
        <v>73</v>
      </c>
      <c r="N140">
        <v>0</v>
      </c>
      <c r="O140" t="s">
        <v>58</v>
      </c>
      <c r="P140" t="s">
        <v>59</v>
      </c>
      <c r="Q140" t="s">
        <v>431</v>
      </c>
      <c r="R140" t="s">
        <v>430</v>
      </c>
      <c r="S140" s="1">
        <v>44450</v>
      </c>
      <c r="T140" s="1">
        <v>44456</v>
      </c>
      <c r="U140">
        <v>37501</v>
      </c>
      <c r="V140" t="s">
        <v>61</v>
      </c>
      <c r="W140" t="s">
        <v>432</v>
      </c>
      <c r="X140" s="1">
        <v>44459</v>
      </c>
      <c r="Y140" t="s">
        <v>63</v>
      </c>
      <c r="Z140">
        <v>155.16999999999999</v>
      </c>
      <c r="AA140">
        <v>16</v>
      </c>
      <c r="AB140">
        <v>24.83</v>
      </c>
      <c r="AC140">
        <v>18</v>
      </c>
      <c r="AD140">
        <v>198</v>
      </c>
      <c r="AE140">
        <v>7988</v>
      </c>
      <c r="AF140">
        <v>7988</v>
      </c>
      <c r="AG140" t="s">
        <v>415</v>
      </c>
      <c r="AH140" t="s">
        <v>65</v>
      </c>
      <c r="AI140" t="s">
        <v>65</v>
      </c>
      <c r="AJ140" t="s">
        <v>66</v>
      </c>
      <c r="AK140" t="s">
        <v>66</v>
      </c>
      <c r="AL140" t="s">
        <v>66</v>
      </c>
      <c r="AM140" s="2" t="str">
        <f>HYPERLINK("https://transparencia.cidesi.mx/comprobantes/2021/CQ2100828 /C19RORR791119M94_Factura__38317_69DE70F0-5640-4F23-BFE9-1CE893DB7006.pdf")</f>
        <v>https://transparencia.cidesi.mx/comprobantes/2021/CQ2100828 /C19RORR791119M94_Factura__38317_69DE70F0-5640-4F23-BFE9-1CE893DB7006.pdf</v>
      </c>
      <c r="AN140" t="str">
        <f>HYPERLINK("https://transparencia.cidesi.mx/comprobantes/2021/CQ2100828 /C19RORR791119M94_Factura__38317_69DE70F0-5640-4F23-BFE9-1CE893DB7006.pdf")</f>
        <v>https://transparencia.cidesi.mx/comprobantes/2021/CQ2100828 /C19RORR791119M94_Factura__38317_69DE70F0-5640-4F23-BFE9-1CE893DB7006.pdf</v>
      </c>
      <c r="AO140" t="str">
        <f>HYPERLINK("https://transparencia.cidesi.mx/comprobantes/2021/CQ2100828 /C19RORR791119M94_Factura__38317_69DE70F0-5640-4F23-BFE9-1CE893DB7006.xml")</f>
        <v>https://transparencia.cidesi.mx/comprobantes/2021/CQ2100828 /C19RORR791119M94_Factura__38317_69DE70F0-5640-4F23-BFE9-1CE893DB7006.xml</v>
      </c>
      <c r="AP140" t="s">
        <v>433</v>
      </c>
      <c r="AQ140" t="s">
        <v>434</v>
      </c>
      <c r="AR140" t="s">
        <v>425</v>
      </c>
      <c r="AS140" t="s">
        <v>435</v>
      </c>
      <c r="AT140" s="1">
        <v>44460</v>
      </c>
      <c r="AU140" s="1">
        <v>44473</v>
      </c>
    </row>
    <row r="141" spans="1:47" x14ac:dyDescent="0.3">
      <c r="A141" t="s">
        <v>246</v>
      </c>
      <c r="B141" t="s">
        <v>182</v>
      </c>
      <c r="C141" t="s">
        <v>183</v>
      </c>
      <c r="D141">
        <v>392</v>
      </c>
      <c r="E141" t="s">
        <v>403</v>
      </c>
      <c r="F141" t="s">
        <v>404</v>
      </c>
      <c r="G141" t="s">
        <v>405</v>
      </c>
      <c r="H141" t="s">
        <v>429</v>
      </c>
      <c r="I141" t="s">
        <v>54</v>
      </c>
      <c r="J141" t="s">
        <v>430</v>
      </c>
      <c r="K141" t="s">
        <v>56</v>
      </c>
      <c r="L141">
        <v>0</v>
      </c>
      <c r="M141" t="s">
        <v>73</v>
      </c>
      <c r="N141">
        <v>0</v>
      </c>
      <c r="O141" t="s">
        <v>58</v>
      </c>
      <c r="P141" t="s">
        <v>59</v>
      </c>
      <c r="Q141" t="s">
        <v>431</v>
      </c>
      <c r="R141" t="s">
        <v>430</v>
      </c>
      <c r="S141" s="1">
        <v>44450</v>
      </c>
      <c r="T141" s="1">
        <v>44456</v>
      </c>
      <c r="U141">
        <v>37501</v>
      </c>
      <c r="V141" t="s">
        <v>61</v>
      </c>
      <c r="W141" t="s">
        <v>432</v>
      </c>
      <c r="X141" s="1">
        <v>44459</v>
      </c>
      <c r="Y141" t="s">
        <v>63</v>
      </c>
      <c r="Z141">
        <v>210.34</v>
      </c>
      <c r="AA141">
        <v>16</v>
      </c>
      <c r="AB141">
        <v>33.659999999999997</v>
      </c>
      <c r="AC141">
        <v>24</v>
      </c>
      <c r="AD141">
        <v>268</v>
      </c>
      <c r="AE141">
        <v>7988</v>
      </c>
      <c r="AF141">
        <v>7988</v>
      </c>
      <c r="AG141" t="s">
        <v>415</v>
      </c>
      <c r="AH141" t="s">
        <v>65</v>
      </c>
      <c r="AI141" t="s">
        <v>65</v>
      </c>
      <c r="AJ141" t="s">
        <v>66</v>
      </c>
      <c r="AK141" t="s">
        <v>66</v>
      </c>
      <c r="AL141" t="s">
        <v>66</v>
      </c>
      <c r="AM141" s="2" t="str">
        <f>HYPERLINK("https://transparencia.cidesi.mx/comprobantes/2021/CQ2100828 /C20RUCG670118SC6-Factura-A8690.pdf")</f>
        <v>https://transparencia.cidesi.mx/comprobantes/2021/CQ2100828 /C20RUCG670118SC6-Factura-A8690.pdf</v>
      </c>
      <c r="AN141" t="str">
        <f>HYPERLINK("https://transparencia.cidesi.mx/comprobantes/2021/CQ2100828 /C20RUCG670118SC6-Factura-A8690.pdf")</f>
        <v>https://transparencia.cidesi.mx/comprobantes/2021/CQ2100828 /C20RUCG670118SC6-Factura-A8690.pdf</v>
      </c>
      <c r="AO141" t="str">
        <f>HYPERLINK("https://transparencia.cidesi.mx/comprobantes/2021/CQ2100828 /C20RUCG670118SC6-Factura-A8690.xml")</f>
        <v>https://transparencia.cidesi.mx/comprobantes/2021/CQ2100828 /C20RUCG670118SC6-Factura-A8690.xml</v>
      </c>
      <c r="AP141" t="s">
        <v>433</v>
      </c>
      <c r="AQ141" t="s">
        <v>434</v>
      </c>
      <c r="AR141" t="s">
        <v>425</v>
      </c>
      <c r="AS141" t="s">
        <v>435</v>
      </c>
      <c r="AT141" s="1">
        <v>44460</v>
      </c>
      <c r="AU141" s="1">
        <v>44473</v>
      </c>
    </row>
    <row r="142" spans="1:47" x14ac:dyDescent="0.3">
      <c r="A142" t="s">
        <v>246</v>
      </c>
      <c r="B142" t="s">
        <v>182</v>
      </c>
      <c r="C142" t="s">
        <v>183</v>
      </c>
      <c r="D142">
        <v>392</v>
      </c>
      <c r="E142" t="s">
        <v>403</v>
      </c>
      <c r="F142" t="s">
        <v>404</v>
      </c>
      <c r="G142" t="s">
        <v>405</v>
      </c>
      <c r="H142" t="s">
        <v>429</v>
      </c>
      <c r="I142" t="s">
        <v>54</v>
      </c>
      <c r="J142" t="s">
        <v>430</v>
      </c>
      <c r="K142" t="s">
        <v>56</v>
      </c>
      <c r="L142">
        <v>0</v>
      </c>
      <c r="M142" t="s">
        <v>73</v>
      </c>
      <c r="N142">
        <v>0</v>
      </c>
      <c r="O142" t="s">
        <v>58</v>
      </c>
      <c r="P142" t="s">
        <v>59</v>
      </c>
      <c r="Q142" t="s">
        <v>431</v>
      </c>
      <c r="R142" t="s">
        <v>430</v>
      </c>
      <c r="S142" s="1">
        <v>44450</v>
      </c>
      <c r="T142" s="1">
        <v>44456</v>
      </c>
      <c r="U142">
        <v>37501</v>
      </c>
      <c r="V142" t="s">
        <v>61</v>
      </c>
      <c r="W142" t="s">
        <v>432</v>
      </c>
      <c r="X142" s="1">
        <v>44459</v>
      </c>
      <c r="Y142" t="s">
        <v>63</v>
      </c>
      <c r="Z142">
        <v>341.38</v>
      </c>
      <c r="AA142">
        <v>16</v>
      </c>
      <c r="AB142">
        <v>54.62</v>
      </c>
      <c r="AC142">
        <v>4.88</v>
      </c>
      <c r="AD142">
        <v>400.88</v>
      </c>
      <c r="AE142">
        <v>7988</v>
      </c>
      <c r="AF142">
        <v>7988</v>
      </c>
      <c r="AG142" t="s">
        <v>415</v>
      </c>
      <c r="AH142" t="s">
        <v>65</v>
      </c>
      <c r="AI142" t="s">
        <v>65</v>
      </c>
      <c r="AJ142" t="s">
        <v>66</v>
      </c>
      <c r="AK142" t="s">
        <v>66</v>
      </c>
      <c r="AL142" t="s">
        <v>66</v>
      </c>
      <c r="AM142" s="2" t="str">
        <f>HYPERLINK("https://transparencia.cidesi.mx/comprobantes/2021/CQ2100828 /C21AI38385.pdf")</f>
        <v>https://transparencia.cidesi.mx/comprobantes/2021/CQ2100828 /C21AI38385.pdf</v>
      </c>
      <c r="AN142" t="str">
        <f>HYPERLINK("https://transparencia.cidesi.mx/comprobantes/2021/CQ2100828 /C21AI38385.pdf")</f>
        <v>https://transparencia.cidesi.mx/comprobantes/2021/CQ2100828 /C21AI38385.pdf</v>
      </c>
      <c r="AO142" t="str">
        <f>HYPERLINK("https://transparencia.cidesi.mx/comprobantes/2021/CQ2100828 /C21AI38385.xml")</f>
        <v>https://transparencia.cidesi.mx/comprobantes/2021/CQ2100828 /C21AI38385.xml</v>
      </c>
      <c r="AP142" t="s">
        <v>433</v>
      </c>
      <c r="AQ142" t="s">
        <v>434</v>
      </c>
      <c r="AR142" t="s">
        <v>425</v>
      </c>
      <c r="AS142" t="s">
        <v>435</v>
      </c>
      <c r="AT142" s="1">
        <v>44460</v>
      </c>
      <c r="AU142" s="1">
        <v>44473</v>
      </c>
    </row>
    <row r="143" spans="1:47" x14ac:dyDescent="0.3">
      <c r="A143" t="s">
        <v>246</v>
      </c>
      <c r="B143" t="s">
        <v>182</v>
      </c>
      <c r="C143" t="s">
        <v>183</v>
      </c>
      <c r="D143">
        <v>392</v>
      </c>
      <c r="E143" t="s">
        <v>403</v>
      </c>
      <c r="F143" t="s">
        <v>404</v>
      </c>
      <c r="G143" t="s">
        <v>405</v>
      </c>
      <c r="H143" t="s">
        <v>436</v>
      </c>
      <c r="I143" t="s">
        <v>54</v>
      </c>
      <c r="J143" t="s">
        <v>437</v>
      </c>
      <c r="K143" t="s">
        <v>56</v>
      </c>
      <c r="L143">
        <v>0</v>
      </c>
      <c r="M143" t="s">
        <v>73</v>
      </c>
      <c r="N143">
        <v>0</v>
      </c>
      <c r="O143" t="s">
        <v>58</v>
      </c>
      <c r="P143" t="s">
        <v>59</v>
      </c>
      <c r="Q143" t="s">
        <v>297</v>
      </c>
      <c r="R143" t="s">
        <v>437</v>
      </c>
      <c r="S143" s="1">
        <v>44467</v>
      </c>
      <c r="T143" s="1">
        <v>44469</v>
      </c>
      <c r="U143">
        <v>37501</v>
      </c>
      <c r="V143" t="s">
        <v>61</v>
      </c>
      <c r="W143" t="s">
        <v>438</v>
      </c>
      <c r="X143" s="1">
        <v>44470</v>
      </c>
      <c r="Y143" t="s">
        <v>207</v>
      </c>
      <c r="Z143">
        <v>330.17</v>
      </c>
      <c r="AA143">
        <v>16</v>
      </c>
      <c r="AB143">
        <v>52.83</v>
      </c>
      <c r="AC143">
        <v>0</v>
      </c>
      <c r="AD143">
        <v>383</v>
      </c>
      <c r="AE143">
        <v>2881.26</v>
      </c>
      <c r="AF143">
        <v>2727</v>
      </c>
      <c r="AG143" t="s">
        <v>415</v>
      </c>
      <c r="AH143" t="s">
        <v>65</v>
      </c>
      <c r="AI143" t="s">
        <v>65</v>
      </c>
      <c r="AJ143" t="s">
        <v>66</v>
      </c>
      <c r="AK143" t="s">
        <v>66</v>
      </c>
      <c r="AL143" t="s">
        <v>66</v>
      </c>
      <c r="AM143" s="2" t="str">
        <f>HYPERLINK("https://transparencia.cidesi.mx/comprobantes/2021/CQ2100921 /C178D003A7-4A77-4AA0-BE88-16A2C60EB38F.pdf")</f>
        <v>https://transparencia.cidesi.mx/comprobantes/2021/CQ2100921 /C178D003A7-4A77-4AA0-BE88-16A2C60EB38F.pdf</v>
      </c>
      <c r="AN143" t="str">
        <f>HYPERLINK("https://transparencia.cidesi.mx/comprobantes/2021/CQ2100921 /C178D003A7-4A77-4AA0-BE88-16A2C60EB38F.pdf")</f>
        <v>https://transparencia.cidesi.mx/comprobantes/2021/CQ2100921 /C178D003A7-4A77-4AA0-BE88-16A2C60EB38F.pdf</v>
      </c>
      <c r="AO143" t="str">
        <f>HYPERLINK("https://transparencia.cidesi.mx/comprobantes/2021/CQ2100921 /C178D003A7-4A77-4AA0-BE88-16A2C60EB38F.xml")</f>
        <v>https://transparencia.cidesi.mx/comprobantes/2021/CQ2100921 /C178D003A7-4A77-4AA0-BE88-16A2C60EB38F.xml</v>
      </c>
      <c r="AP143" t="s">
        <v>439</v>
      </c>
      <c r="AQ143" t="s">
        <v>440</v>
      </c>
      <c r="AR143" t="s">
        <v>425</v>
      </c>
      <c r="AS143" t="s">
        <v>441</v>
      </c>
      <c r="AT143" s="1">
        <v>44473</v>
      </c>
      <c r="AU143" t="s">
        <v>73</v>
      </c>
    </row>
    <row r="144" spans="1:47" x14ac:dyDescent="0.3">
      <c r="A144" t="s">
        <v>246</v>
      </c>
      <c r="B144" t="s">
        <v>182</v>
      </c>
      <c r="C144" t="s">
        <v>183</v>
      </c>
      <c r="D144">
        <v>392</v>
      </c>
      <c r="E144" t="s">
        <v>403</v>
      </c>
      <c r="F144" t="s">
        <v>404</v>
      </c>
      <c r="G144" t="s">
        <v>405</v>
      </c>
      <c r="H144" t="s">
        <v>436</v>
      </c>
      <c r="I144" t="s">
        <v>54</v>
      </c>
      <c r="J144" t="s">
        <v>437</v>
      </c>
      <c r="K144" t="s">
        <v>56</v>
      </c>
      <c r="L144">
        <v>0</v>
      </c>
      <c r="M144" t="s">
        <v>73</v>
      </c>
      <c r="N144">
        <v>0</v>
      </c>
      <c r="O144" t="s">
        <v>58</v>
      </c>
      <c r="P144" t="s">
        <v>59</v>
      </c>
      <c r="Q144" t="s">
        <v>297</v>
      </c>
      <c r="R144" t="s">
        <v>437</v>
      </c>
      <c r="S144" s="1">
        <v>44467</v>
      </c>
      <c r="T144" s="1">
        <v>44469</v>
      </c>
      <c r="U144">
        <v>37501</v>
      </c>
      <c r="V144" t="s">
        <v>104</v>
      </c>
      <c r="W144" t="s">
        <v>438</v>
      </c>
      <c r="X144" s="1">
        <v>44470</v>
      </c>
      <c r="Y144" t="s">
        <v>207</v>
      </c>
      <c r="Z144">
        <v>878.45</v>
      </c>
      <c r="AA144">
        <v>16</v>
      </c>
      <c r="AB144">
        <v>140.55000000000001</v>
      </c>
      <c r="AC144">
        <v>0</v>
      </c>
      <c r="AD144">
        <v>1019</v>
      </c>
      <c r="AE144">
        <v>2881.26</v>
      </c>
      <c r="AF144">
        <v>2727</v>
      </c>
      <c r="AG144" t="s">
        <v>410</v>
      </c>
      <c r="AH144" t="s">
        <v>65</v>
      </c>
      <c r="AI144" t="s">
        <v>65</v>
      </c>
      <c r="AJ144" t="s">
        <v>66</v>
      </c>
      <c r="AK144" t="s">
        <v>66</v>
      </c>
      <c r="AL144" t="s">
        <v>66</v>
      </c>
      <c r="AM144" s="2" t="str">
        <f>HYPERLINK("https://transparencia.cidesi.mx/comprobantes/2021/CQ2100921 /C2MTH-34875.pdf")</f>
        <v>https://transparencia.cidesi.mx/comprobantes/2021/CQ2100921 /C2MTH-34875.pdf</v>
      </c>
      <c r="AN144" t="str">
        <f>HYPERLINK("https://transparencia.cidesi.mx/comprobantes/2021/CQ2100921 /C2MTH-34875.pdf")</f>
        <v>https://transparencia.cidesi.mx/comprobantes/2021/CQ2100921 /C2MTH-34875.pdf</v>
      </c>
      <c r="AO144" t="str">
        <f>HYPERLINK("https://transparencia.cidesi.mx/comprobantes/2021/CQ2100921 /C2MTH-34875.xml")</f>
        <v>https://transparencia.cidesi.mx/comprobantes/2021/CQ2100921 /C2MTH-34875.xml</v>
      </c>
      <c r="AP144" t="s">
        <v>439</v>
      </c>
      <c r="AQ144" t="s">
        <v>440</v>
      </c>
      <c r="AR144" t="s">
        <v>425</v>
      </c>
      <c r="AS144" t="s">
        <v>441</v>
      </c>
      <c r="AT144" s="1">
        <v>44473</v>
      </c>
      <c r="AU144" t="s">
        <v>73</v>
      </c>
    </row>
    <row r="145" spans="1:47" x14ac:dyDescent="0.3">
      <c r="A145" t="s">
        <v>246</v>
      </c>
      <c r="B145" t="s">
        <v>182</v>
      </c>
      <c r="C145" t="s">
        <v>183</v>
      </c>
      <c r="D145">
        <v>392</v>
      </c>
      <c r="E145" t="s">
        <v>403</v>
      </c>
      <c r="F145" t="s">
        <v>404</v>
      </c>
      <c r="G145" t="s">
        <v>405</v>
      </c>
      <c r="H145" t="s">
        <v>436</v>
      </c>
      <c r="I145" t="s">
        <v>54</v>
      </c>
      <c r="J145" t="s">
        <v>437</v>
      </c>
      <c r="K145" t="s">
        <v>56</v>
      </c>
      <c r="L145">
        <v>0</v>
      </c>
      <c r="M145" t="s">
        <v>73</v>
      </c>
      <c r="N145">
        <v>0</v>
      </c>
      <c r="O145" t="s">
        <v>58</v>
      </c>
      <c r="P145" t="s">
        <v>59</v>
      </c>
      <c r="Q145" t="s">
        <v>297</v>
      </c>
      <c r="R145" t="s">
        <v>437</v>
      </c>
      <c r="S145" s="1">
        <v>44467</v>
      </c>
      <c r="T145" s="1">
        <v>44469</v>
      </c>
      <c r="U145">
        <v>37501</v>
      </c>
      <c r="V145" t="s">
        <v>61</v>
      </c>
      <c r="W145" t="s">
        <v>438</v>
      </c>
      <c r="X145" s="1">
        <v>44470</v>
      </c>
      <c r="Y145" t="s">
        <v>207</v>
      </c>
      <c r="Z145">
        <v>215.52</v>
      </c>
      <c r="AA145">
        <v>16</v>
      </c>
      <c r="AB145">
        <v>34.479999999999997</v>
      </c>
      <c r="AC145">
        <v>0</v>
      </c>
      <c r="AD145">
        <v>250</v>
      </c>
      <c r="AE145">
        <v>2881.26</v>
      </c>
      <c r="AF145">
        <v>2727</v>
      </c>
      <c r="AG145" t="s">
        <v>415</v>
      </c>
      <c r="AH145" t="s">
        <v>65</v>
      </c>
      <c r="AI145" t="s">
        <v>65</v>
      </c>
      <c r="AJ145" t="s">
        <v>66</v>
      </c>
      <c r="AK145" t="s">
        <v>66</v>
      </c>
      <c r="AL145" t="s">
        <v>66</v>
      </c>
      <c r="AM145" s="2" t="str">
        <f>HYPERLINK("https://transparencia.cidesi.mx/comprobantes/2021/CQ2100921 /C3MTH-34781.pdf")</f>
        <v>https://transparencia.cidesi.mx/comprobantes/2021/CQ2100921 /C3MTH-34781.pdf</v>
      </c>
      <c r="AN145" t="str">
        <f>HYPERLINK("https://transparencia.cidesi.mx/comprobantes/2021/CQ2100921 /C3MTH-34781.pdf")</f>
        <v>https://transparencia.cidesi.mx/comprobantes/2021/CQ2100921 /C3MTH-34781.pdf</v>
      </c>
      <c r="AO145" t="str">
        <f>HYPERLINK("https://transparencia.cidesi.mx/comprobantes/2021/CQ2100921 /C3MTH-34781.xml")</f>
        <v>https://transparencia.cidesi.mx/comprobantes/2021/CQ2100921 /C3MTH-34781.xml</v>
      </c>
      <c r="AP145" t="s">
        <v>439</v>
      </c>
      <c r="AQ145" t="s">
        <v>440</v>
      </c>
      <c r="AR145" t="s">
        <v>425</v>
      </c>
      <c r="AS145" t="s">
        <v>441</v>
      </c>
      <c r="AT145" s="1">
        <v>44473</v>
      </c>
      <c r="AU145" t="s">
        <v>73</v>
      </c>
    </row>
    <row r="146" spans="1:47" x14ac:dyDescent="0.3">
      <c r="A146" t="s">
        <v>246</v>
      </c>
      <c r="B146" t="s">
        <v>182</v>
      </c>
      <c r="C146" t="s">
        <v>183</v>
      </c>
      <c r="D146">
        <v>392</v>
      </c>
      <c r="E146" t="s">
        <v>403</v>
      </c>
      <c r="F146" t="s">
        <v>404</v>
      </c>
      <c r="G146" t="s">
        <v>405</v>
      </c>
      <c r="H146" t="s">
        <v>436</v>
      </c>
      <c r="I146" t="s">
        <v>54</v>
      </c>
      <c r="J146" t="s">
        <v>437</v>
      </c>
      <c r="K146" t="s">
        <v>56</v>
      </c>
      <c r="L146">
        <v>0</v>
      </c>
      <c r="M146" t="s">
        <v>73</v>
      </c>
      <c r="N146">
        <v>0</v>
      </c>
      <c r="O146" t="s">
        <v>58</v>
      </c>
      <c r="P146" t="s">
        <v>59</v>
      </c>
      <c r="Q146" t="s">
        <v>297</v>
      </c>
      <c r="R146" t="s">
        <v>437</v>
      </c>
      <c r="S146" s="1">
        <v>44467</v>
      </c>
      <c r="T146" s="1">
        <v>44469</v>
      </c>
      <c r="U146">
        <v>37501</v>
      </c>
      <c r="V146" t="s">
        <v>104</v>
      </c>
      <c r="W146" t="s">
        <v>438</v>
      </c>
      <c r="X146" s="1">
        <v>44470</v>
      </c>
      <c r="Y146" t="s">
        <v>207</v>
      </c>
      <c r="Z146">
        <v>772.29</v>
      </c>
      <c r="AA146">
        <v>16</v>
      </c>
      <c r="AB146">
        <v>119.97</v>
      </c>
      <c r="AC146">
        <v>0</v>
      </c>
      <c r="AD146">
        <v>892.26</v>
      </c>
      <c r="AE146">
        <v>2881.26</v>
      </c>
      <c r="AF146">
        <v>2727</v>
      </c>
      <c r="AG146" t="s">
        <v>410</v>
      </c>
      <c r="AH146" t="s">
        <v>65</v>
      </c>
      <c r="AI146" t="s">
        <v>65</v>
      </c>
      <c r="AJ146" t="s">
        <v>66</v>
      </c>
      <c r="AK146" t="s">
        <v>66</v>
      </c>
      <c r="AL146" t="s">
        <v>66</v>
      </c>
      <c r="AM146" s="2" t="str">
        <f>HYPERLINK("https://transparencia.cidesi.mx/comprobantes/2021/CQ2100921 /C4B81167.pdf")</f>
        <v>https://transparencia.cidesi.mx/comprobantes/2021/CQ2100921 /C4B81167.pdf</v>
      </c>
      <c r="AN146" t="str">
        <f>HYPERLINK("https://transparencia.cidesi.mx/comprobantes/2021/CQ2100921 /C4B81167.pdf")</f>
        <v>https://transparencia.cidesi.mx/comprobantes/2021/CQ2100921 /C4B81167.pdf</v>
      </c>
      <c r="AO146" t="str">
        <f>HYPERLINK("https://transparencia.cidesi.mx/comprobantes/2021/CQ2100921 /C4B81167.xml")</f>
        <v>https://transparencia.cidesi.mx/comprobantes/2021/CQ2100921 /C4B81167.xml</v>
      </c>
      <c r="AP146" t="s">
        <v>439</v>
      </c>
      <c r="AQ146" t="s">
        <v>440</v>
      </c>
      <c r="AR146" t="s">
        <v>425</v>
      </c>
      <c r="AS146" t="s">
        <v>441</v>
      </c>
      <c r="AT146" s="1">
        <v>44473</v>
      </c>
      <c r="AU146" t="s">
        <v>73</v>
      </c>
    </row>
    <row r="147" spans="1:47" x14ac:dyDescent="0.3">
      <c r="A147" t="s">
        <v>246</v>
      </c>
      <c r="B147" t="s">
        <v>182</v>
      </c>
      <c r="C147" t="s">
        <v>183</v>
      </c>
      <c r="D147">
        <v>392</v>
      </c>
      <c r="E147" t="s">
        <v>403</v>
      </c>
      <c r="F147" t="s">
        <v>404</v>
      </c>
      <c r="G147" t="s">
        <v>405</v>
      </c>
      <c r="H147" t="s">
        <v>436</v>
      </c>
      <c r="I147" t="s">
        <v>54</v>
      </c>
      <c r="J147" t="s">
        <v>437</v>
      </c>
      <c r="K147" t="s">
        <v>56</v>
      </c>
      <c r="L147">
        <v>0</v>
      </c>
      <c r="M147" t="s">
        <v>73</v>
      </c>
      <c r="N147">
        <v>0</v>
      </c>
      <c r="O147" t="s">
        <v>58</v>
      </c>
      <c r="P147" t="s">
        <v>59</v>
      </c>
      <c r="Q147" t="s">
        <v>297</v>
      </c>
      <c r="R147" t="s">
        <v>437</v>
      </c>
      <c r="S147" s="1">
        <v>44467</v>
      </c>
      <c r="T147" s="1">
        <v>44469</v>
      </c>
      <c r="U147">
        <v>37501</v>
      </c>
      <c r="V147" t="s">
        <v>61</v>
      </c>
      <c r="W147" t="s">
        <v>438</v>
      </c>
      <c r="X147" s="1">
        <v>44470</v>
      </c>
      <c r="Y147" t="s">
        <v>207</v>
      </c>
      <c r="Z147">
        <v>94.44</v>
      </c>
      <c r="AA147">
        <v>16</v>
      </c>
      <c r="AB147">
        <v>10.56</v>
      </c>
      <c r="AC147">
        <v>0</v>
      </c>
      <c r="AD147">
        <v>105</v>
      </c>
      <c r="AE147">
        <v>2881.26</v>
      </c>
      <c r="AF147">
        <v>2727</v>
      </c>
      <c r="AG147" t="s">
        <v>415</v>
      </c>
      <c r="AH147" t="s">
        <v>65</v>
      </c>
      <c r="AI147" t="s">
        <v>65</v>
      </c>
      <c r="AJ147" t="s">
        <v>66</v>
      </c>
      <c r="AK147" t="s">
        <v>66</v>
      </c>
      <c r="AL147" t="s">
        <v>66</v>
      </c>
      <c r="AM147" s="2" t="str">
        <f>HYPERLINK("https://transparencia.cidesi.mx/comprobantes/2021/CQ2100921 /C5FACTURA_1633094938789_347280333.pdf")</f>
        <v>https://transparencia.cidesi.mx/comprobantes/2021/CQ2100921 /C5FACTURA_1633094938789_347280333.pdf</v>
      </c>
      <c r="AN147" t="str">
        <f>HYPERLINK("https://transparencia.cidesi.mx/comprobantes/2021/CQ2100921 /C5FACTURA_1633094938789_347280333.pdf")</f>
        <v>https://transparencia.cidesi.mx/comprobantes/2021/CQ2100921 /C5FACTURA_1633094938789_347280333.pdf</v>
      </c>
      <c r="AO147" t="str">
        <f>HYPERLINK("https://transparencia.cidesi.mx/comprobantes/2021/CQ2100921 /C5FACTURA_1633094944229_347280333.xml")</f>
        <v>https://transparencia.cidesi.mx/comprobantes/2021/CQ2100921 /C5FACTURA_1633094944229_347280333.xml</v>
      </c>
      <c r="AP147" t="s">
        <v>439</v>
      </c>
      <c r="AQ147" t="s">
        <v>440</v>
      </c>
      <c r="AR147" t="s">
        <v>425</v>
      </c>
      <c r="AS147" t="s">
        <v>441</v>
      </c>
      <c r="AT147" s="1">
        <v>44473</v>
      </c>
      <c r="AU147" t="s">
        <v>73</v>
      </c>
    </row>
    <row r="148" spans="1:47" x14ac:dyDescent="0.3">
      <c r="A148" t="s">
        <v>246</v>
      </c>
      <c r="B148" t="s">
        <v>182</v>
      </c>
      <c r="C148" t="s">
        <v>183</v>
      </c>
      <c r="D148">
        <v>392</v>
      </c>
      <c r="E148" t="s">
        <v>403</v>
      </c>
      <c r="F148" t="s">
        <v>404</v>
      </c>
      <c r="G148" t="s">
        <v>405</v>
      </c>
      <c r="H148" t="s">
        <v>436</v>
      </c>
      <c r="I148" t="s">
        <v>54</v>
      </c>
      <c r="J148" t="s">
        <v>437</v>
      </c>
      <c r="K148" t="s">
        <v>56</v>
      </c>
      <c r="L148">
        <v>0</v>
      </c>
      <c r="M148" t="s">
        <v>73</v>
      </c>
      <c r="N148">
        <v>0</v>
      </c>
      <c r="O148" t="s">
        <v>58</v>
      </c>
      <c r="P148" t="s">
        <v>59</v>
      </c>
      <c r="Q148" t="s">
        <v>297</v>
      </c>
      <c r="R148" t="s">
        <v>437</v>
      </c>
      <c r="S148" s="1">
        <v>44467</v>
      </c>
      <c r="T148" s="1">
        <v>44469</v>
      </c>
      <c r="U148">
        <v>37501</v>
      </c>
      <c r="V148" t="s">
        <v>61</v>
      </c>
      <c r="W148" t="s">
        <v>438</v>
      </c>
      <c r="X148" s="1">
        <v>44470</v>
      </c>
      <c r="Y148" t="s">
        <v>207</v>
      </c>
      <c r="Z148">
        <v>94.09</v>
      </c>
      <c r="AA148">
        <v>16</v>
      </c>
      <c r="AB148">
        <v>2.41</v>
      </c>
      <c r="AC148">
        <v>0</v>
      </c>
      <c r="AD148">
        <v>96.5</v>
      </c>
      <c r="AE148">
        <v>2881.26</v>
      </c>
      <c r="AF148">
        <v>2727</v>
      </c>
      <c r="AG148" t="s">
        <v>415</v>
      </c>
      <c r="AH148" t="s">
        <v>65</v>
      </c>
      <c r="AI148" t="s">
        <v>65</v>
      </c>
      <c r="AJ148" t="s">
        <v>66</v>
      </c>
      <c r="AK148" t="s">
        <v>66</v>
      </c>
      <c r="AL148" t="s">
        <v>66</v>
      </c>
      <c r="AM148" s="2" t="str">
        <f>HYPERLINK("https://transparencia.cidesi.mx/comprobantes/2021/CQ2100921 /C6FACTURA_1632963685179_346730895.pdf")</f>
        <v>https://transparencia.cidesi.mx/comprobantes/2021/CQ2100921 /C6FACTURA_1632963685179_346730895.pdf</v>
      </c>
      <c r="AN148" t="str">
        <f>HYPERLINK("https://transparencia.cidesi.mx/comprobantes/2021/CQ2100921 /C6FACTURA_1632963685179_346730895.pdf")</f>
        <v>https://transparencia.cidesi.mx/comprobantes/2021/CQ2100921 /C6FACTURA_1632963685179_346730895.pdf</v>
      </c>
      <c r="AO148" t="str">
        <f>HYPERLINK("https://transparencia.cidesi.mx/comprobantes/2021/CQ2100921 /C6FACTURA_1632963687989_346730895.xml")</f>
        <v>https://transparencia.cidesi.mx/comprobantes/2021/CQ2100921 /C6FACTURA_1632963687989_346730895.xml</v>
      </c>
      <c r="AP148" t="s">
        <v>439</v>
      </c>
      <c r="AQ148" t="s">
        <v>440</v>
      </c>
      <c r="AR148" t="s">
        <v>425</v>
      </c>
      <c r="AS148" t="s">
        <v>441</v>
      </c>
      <c r="AT148" s="1">
        <v>44473</v>
      </c>
      <c r="AU148" t="s">
        <v>73</v>
      </c>
    </row>
    <row r="149" spans="1:47" x14ac:dyDescent="0.3">
      <c r="A149" t="s">
        <v>246</v>
      </c>
      <c r="B149" t="s">
        <v>182</v>
      </c>
      <c r="C149" t="s">
        <v>183</v>
      </c>
      <c r="D149">
        <v>392</v>
      </c>
      <c r="E149" t="s">
        <v>403</v>
      </c>
      <c r="F149" t="s">
        <v>404</v>
      </c>
      <c r="G149" t="s">
        <v>405</v>
      </c>
      <c r="H149" t="s">
        <v>436</v>
      </c>
      <c r="I149" t="s">
        <v>54</v>
      </c>
      <c r="J149" t="s">
        <v>437</v>
      </c>
      <c r="K149" t="s">
        <v>56</v>
      </c>
      <c r="L149">
        <v>0</v>
      </c>
      <c r="M149" t="s">
        <v>73</v>
      </c>
      <c r="N149">
        <v>0</v>
      </c>
      <c r="O149" t="s">
        <v>58</v>
      </c>
      <c r="P149" t="s">
        <v>59</v>
      </c>
      <c r="Q149" t="s">
        <v>297</v>
      </c>
      <c r="R149" t="s">
        <v>437</v>
      </c>
      <c r="S149" s="1">
        <v>44467</v>
      </c>
      <c r="T149" s="1">
        <v>44469</v>
      </c>
      <c r="U149">
        <v>37501</v>
      </c>
      <c r="V149" t="s">
        <v>61</v>
      </c>
      <c r="W149" t="s">
        <v>438</v>
      </c>
      <c r="X149" s="1">
        <v>44470</v>
      </c>
      <c r="Y149" t="s">
        <v>207</v>
      </c>
      <c r="Z149">
        <v>119.44</v>
      </c>
      <c r="AA149">
        <v>16</v>
      </c>
      <c r="AB149">
        <v>16.059999999999999</v>
      </c>
      <c r="AC149">
        <v>0</v>
      </c>
      <c r="AD149">
        <v>135.5</v>
      </c>
      <c r="AE149">
        <v>2881.26</v>
      </c>
      <c r="AF149">
        <v>2727</v>
      </c>
      <c r="AG149" t="s">
        <v>415</v>
      </c>
      <c r="AH149" t="s">
        <v>65</v>
      </c>
      <c r="AI149" t="s">
        <v>65</v>
      </c>
      <c r="AJ149" t="s">
        <v>66</v>
      </c>
      <c r="AK149" t="s">
        <v>66</v>
      </c>
      <c r="AL149" t="s">
        <v>66</v>
      </c>
      <c r="AM149" s="2" t="str">
        <f>HYPERLINK("https://transparencia.cidesi.mx/comprobantes/2021/CQ2100921 /C7FACTURA_1633095490759_347280961.pdf")</f>
        <v>https://transparencia.cidesi.mx/comprobantes/2021/CQ2100921 /C7FACTURA_1633095490759_347280961.pdf</v>
      </c>
      <c r="AN149" t="str">
        <f>HYPERLINK("https://transparencia.cidesi.mx/comprobantes/2021/CQ2100921 /C7FACTURA_1633095490759_347280961.pdf")</f>
        <v>https://transparencia.cidesi.mx/comprobantes/2021/CQ2100921 /C7FACTURA_1633095490759_347280961.pdf</v>
      </c>
      <c r="AO149" t="str">
        <f>HYPERLINK("https://transparencia.cidesi.mx/comprobantes/2021/CQ2100921 /C7FACTURA_1633095487829_347280961.xml")</f>
        <v>https://transparencia.cidesi.mx/comprobantes/2021/CQ2100921 /C7FACTURA_1633095487829_347280961.xml</v>
      </c>
      <c r="AP149" t="s">
        <v>439</v>
      </c>
      <c r="AQ149" t="s">
        <v>440</v>
      </c>
      <c r="AR149" t="s">
        <v>425</v>
      </c>
      <c r="AS149" t="s">
        <v>441</v>
      </c>
      <c r="AT149" s="1">
        <v>44473</v>
      </c>
      <c r="AU149" t="s">
        <v>73</v>
      </c>
    </row>
    <row r="150" spans="1:47" x14ac:dyDescent="0.3">
      <c r="A150" t="s">
        <v>246</v>
      </c>
      <c r="B150" t="s">
        <v>48</v>
      </c>
      <c r="C150" t="s">
        <v>338</v>
      </c>
      <c r="D150">
        <v>438</v>
      </c>
      <c r="E150" t="s">
        <v>442</v>
      </c>
      <c r="F150" t="s">
        <v>443</v>
      </c>
      <c r="G150" t="s">
        <v>444</v>
      </c>
      <c r="H150" t="s">
        <v>445</v>
      </c>
      <c r="I150" t="s">
        <v>54</v>
      </c>
      <c r="J150" t="s">
        <v>446</v>
      </c>
      <c r="K150" t="s">
        <v>56</v>
      </c>
      <c r="L150">
        <v>0</v>
      </c>
      <c r="M150" t="s">
        <v>73</v>
      </c>
      <c r="N150">
        <v>0</v>
      </c>
      <c r="O150" t="s">
        <v>58</v>
      </c>
      <c r="P150" t="s">
        <v>59</v>
      </c>
      <c r="Q150" t="s">
        <v>447</v>
      </c>
      <c r="R150" t="s">
        <v>446</v>
      </c>
      <c r="S150" s="1">
        <v>44430</v>
      </c>
      <c r="T150" s="1">
        <v>44433</v>
      </c>
      <c r="U150">
        <v>37501</v>
      </c>
      <c r="V150" t="s">
        <v>104</v>
      </c>
      <c r="W150" t="s">
        <v>448</v>
      </c>
      <c r="X150" s="1">
        <v>44439</v>
      </c>
      <c r="Y150" t="s">
        <v>63</v>
      </c>
      <c r="Z150">
        <v>1938.57</v>
      </c>
      <c r="AA150">
        <v>16</v>
      </c>
      <c r="AB150">
        <v>302.42</v>
      </c>
      <c r="AC150">
        <v>20</v>
      </c>
      <c r="AD150">
        <v>2260.9899999999998</v>
      </c>
      <c r="AE150">
        <v>3213.59</v>
      </c>
      <c r="AF150">
        <v>3818</v>
      </c>
      <c r="AG150" t="s">
        <v>449</v>
      </c>
      <c r="AH150" t="s">
        <v>65</v>
      </c>
      <c r="AI150" t="s">
        <v>65</v>
      </c>
      <c r="AJ150" t="s">
        <v>66</v>
      </c>
      <c r="AK150" t="s">
        <v>66</v>
      </c>
      <c r="AL150" t="s">
        <v>66</v>
      </c>
      <c r="AM150" s="2" t="str">
        <f>HYPERLINK("https://transparencia.cidesi.mx/comprobantes/2021/CQ2100715 /C1FOF1006_IHP810701G7A.pdf")</f>
        <v>https://transparencia.cidesi.mx/comprobantes/2021/CQ2100715 /C1FOF1006_IHP810701G7A.pdf</v>
      </c>
      <c r="AN150" t="str">
        <f>HYPERLINK("https://transparencia.cidesi.mx/comprobantes/2021/CQ2100715 /C1FOF1006_IHP810701G7A.pdf")</f>
        <v>https://transparencia.cidesi.mx/comprobantes/2021/CQ2100715 /C1FOF1006_IHP810701G7A.pdf</v>
      </c>
      <c r="AO150" t="str">
        <f>HYPERLINK("https://transparencia.cidesi.mx/comprobantes/2021/CQ2100715 /C1FOF1006_IHP810701G7A.xml")</f>
        <v>https://transparencia.cidesi.mx/comprobantes/2021/CQ2100715 /C1FOF1006_IHP810701G7A.xml</v>
      </c>
      <c r="AP150" t="s">
        <v>450</v>
      </c>
      <c r="AQ150" t="s">
        <v>451</v>
      </c>
      <c r="AR150" t="s">
        <v>452</v>
      </c>
      <c r="AS150" t="s">
        <v>453</v>
      </c>
      <c r="AT150" s="1">
        <v>44441</v>
      </c>
      <c r="AU150" s="1">
        <v>44442</v>
      </c>
    </row>
    <row r="151" spans="1:47" x14ac:dyDescent="0.3">
      <c r="A151" t="s">
        <v>246</v>
      </c>
      <c r="B151" t="s">
        <v>48</v>
      </c>
      <c r="C151" t="s">
        <v>338</v>
      </c>
      <c r="D151">
        <v>438</v>
      </c>
      <c r="E151" t="s">
        <v>442</v>
      </c>
      <c r="F151" t="s">
        <v>443</v>
      </c>
      <c r="G151" t="s">
        <v>444</v>
      </c>
      <c r="H151" t="s">
        <v>445</v>
      </c>
      <c r="I151" t="s">
        <v>54</v>
      </c>
      <c r="J151" t="s">
        <v>446</v>
      </c>
      <c r="K151" t="s">
        <v>56</v>
      </c>
      <c r="L151">
        <v>0</v>
      </c>
      <c r="M151" t="s">
        <v>73</v>
      </c>
      <c r="N151">
        <v>0</v>
      </c>
      <c r="O151" t="s">
        <v>58</v>
      </c>
      <c r="P151" t="s">
        <v>59</v>
      </c>
      <c r="Q151" t="s">
        <v>447</v>
      </c>
      <c r="R151" t="s">
        <v>446</v>
      </c>
      <c r="S151" s="1">
        <v>44430</v>
      </c>
      <c r="T151" s="1">
        <v>44433</v>
      </c>
      <c r="U151">
        <v>37501</v>
      </c>
      <c r="V151" t="s">
        <v>61</v>
      </c>
      <c r="W151" t="s">
        <v>448</v>
      </c>
      <c r="X151" s="1">
        <v>44439</v>
      </c>
      <c r="Y151" t="s">
        <v>63</v>
      </c>
      <c r="Z151">
        <v>262.07</v>
      </c>
      <c r="AA151">
        <v>16</v>
      </c>
      <c r="AB151">
        <v>41.93</v>
      </c>
      <c r="AC151">
        <v>30.4</v>
      </c>
      <c r="AD151">
        <v>334.4</v>
      </c>
      <c r="AE151">
        <v>3213.59</v>
      </c>
      <c r="AF151">
        <v>3818</v>
      </c>
      <c r="AG151" t="s">
        <v>454</v>
      </c>
      <c r="AH151" t="s">
        <v>65</v>
      </c>
      <c r="AI151" t="s">
        <v>65</v>
      </c>
      <c r="AJ151" t="s">
        <v>66</v>
      </c>
      <c r="AK151" t="s">
        <v>66</v>
      </c>
      <c r="AL151" t="s">
        <v>66</v>
      </c>
      <c r="AM151" s="2" t="str">
        <f>HYPERLINK("https://transparencia.cidesi.mx/comprobantes/2021/CQ2100715 /C2FB5973_ZGA180614BF4.pdf")</f>
        <v>https://transparencia.cidesi.mx/comprobantes/2021/CQ2100715 /C2FB5973_ZGA180614BF4.pdf</v>
      </c>
      <c r="AN151" t="str">
        <f>HYPERLINK("https://transparencia.cidesi.mx/comprobantes/2021/CQ2100715 /C2FB5973_ZGA180614BF4.pdf")</f>
        <v>https://transparencia.cidesi.mx/comprobantes/2021/CQ2100715 /C2FB5973_ZGA180614BF4.pdf</v>
      </c>
      <c r="AO151" t="str">
        <f>HYPERLINK("https://transparencia.cidesi.mx/comprobantes/2021/CQ2100715 /C2FB5973_ZGA180614BF4.xml")</f>
        <v>https://transparencia.cidesi.mx/comprobantes/2021/CQ2100715 /C2FB5973_ZGA180614BF4.xml</v>
      </c>
      <c r="AP151" t="s">
        <v>450</v>
      </c>
      <c r="AQ151" t="s">
        <v>451</v>
      </c>
      <c r="AR151" t="s">
        <v>452</v>
      </c>
      <c r="AS151" t="s">
        <v>453</v>
      </c>
      <c r="AT151" s="1">
        <v>44441</v>
      </c>
      <c r="AU151" s="1">
        <v>44442</v>
      </c>
    </row>
    <row r="152" spans="1:47" x14ac:dyDescent="0.3">
      <c r="A152" t="s">
        <v>246</v>
      </c>
      <c r="B152" t="s">
        <v>48</v>
      </c>
      <c r="C152" t="s">
        <v>338</v>
      </c>
      <c r="D152">
        <v>438</v>
      </c>
      <c r="E152" t="s">
        <v>442</v>
      </c>
      <c r="F152" t="s">
        <v>443</v>
      </c>
      <c r="G152" t="s">
        <v>444</v>
      </c>
      <c r="H152" t="s">
        <v>445</v>
      </c>
      <c r="I152" t="s">
        <v>54</v>
      </c>
      <c r="J152" t="s">
        <v>446</v>
      </c>
      <c r="K152" t="s">
        <v>56</v>
      </c>
      <c r="L152">
        <v>0</v>
      </c>
      <c r="M152" t="s">
        <v>73</v>
      </c>
      <c r="N152">
        <v>0</v>
      </c>
      <c r="O152" t="s">
        <v>58</v>
      </c>
      <c r="P152" t="s">
        <v>59</v>
      </c>
      <c r="Q152" t="s">
        <v>447</v>
      </c>
      <c r="R152" t="s">
        <v>446</v>
      </c>
      <c r="S152" s="1">
        <v>44430</v>
      </c>
      <c r="T152" s="1">
        <v>44433</v>
      </c>
      <c r="U152">
        <v>37501</v>
      </c>
      <c r="V152" t="s">
        <v>61</v>
      </c>
      <c r="W152" t="s">
        <v>448</v>
      </c>
      <c r="X152" s="1">
        <v>44439</v>
      </c>
      <c r="Y152" t="s">
        <v>63</v>
      </c>
      <c r="Z152">
        <v>321.55</v>
      </c>
      <c r="AA152">
        <v>16</v>
      </c>
      <c r="AB152">
        <v>51.45</v>
      </c>
      <c r="AC152">
        <v>37.299999999999997</v>
      </c>
      <c r="AD152">
        <v>410.3</v>
      </c>
      <c r="AE152">
        <v>3213.59</v>
      </c>
      <c r="AF152">
        <v>3818</v>
      </c>
      <c r="AG152" t="s">
        <v>454</v>
      </c>
      <c r="AH152" t="s">
        <v>65</v>
      </c>
      <c r="AI152" t="s">
        <v>65</v>
      </c>
      <c r="AJ152" t="s">
        <v>66</v>
      </c>
      <c r="AK152" t="s">
        <v>66</v>
      </c>
      <c r="AL152" t="s">
        <v>66</v>
      </c>
      <c r="AM152" s="2" t="str">
        <f>HYPERLINK("https://transparencia.cidesi.mx/comprobantes/2021/CQ2100715 /C3FQAGLM33-4141_AHG130507626.pdf")</f>
        <v>https://transparencia.cidesi.mx/comprobantes/2021/CQ2100715 /C3FQAGLM33-4141_AHG130507626.pdf</v>
      </c>
      <c r="AN152" t="str">
        <f>HYPERLINK("https://transparencia.cidesi.mx/comprobantes/2021/CQ2100715 /C3FQAGLM33-4141_AHG130507626.pdf")</f>
        <v>https://transparencia.cidesi.mx/comprobantes/2021/CQ2100715 /C3FQAGLM33-4141_AHG130507626.pdf</v>
      </c>
      <c r="AO152" t="str">
        <f>HYPERLINK("https://transparencia.cidesi.mx/comprobantes/2021/CQ2100715 /C3FQAGLM33-4141_AHG130507626.xml")</f>
        <v>https://transparencia.cidesi.mx/comprobantes/2021/CQ2100715 /C3FQAGLM33-4141_AHG130507626.xml</v>
      </c>
      <c r="AP152" t="s">
        <v>450</v>
      </c>
      <c r="AQ152" t="s">
        <v>451</v>
      </c>
      <c r="AR152" t="s">
        <v>452</v>
      </c>
      <c r="AS152" t="s">
        <v>453</v>
      </c>
      <c r="AT152" s="1">
        <v>44441</v>
      </c>
      <c r="AU152" s="1">
        <v>44442</v>
      </c>
    </row>
    <row r="153" spans="1:47" x14ac:dyDescent="0.3">
      <c r="A153" t="s">
        <v>246</v>
      </c>
      <c r="B153" t="s">
        <v>48</v>
      </c>
      <c r="C153" t="s">
        <v>338</v>
      </c>
      <c r="D153">
        <v>438</v>
      </c>
      <c r="E153" t="s">
        <v>442</v>
      </c>
      <c r="F153" t="s">
        <v>443</v>
      </c>
      <c r="G153" t="s">
        <v>444</v>
      </c>
      <c r="H153" t="s">
        <v>445</v>
      </c>
      <c r="I153" t="s">
        <v>54</v>
      </c>
      <c r="J153" t="s">
        <v>446</v>
      </c>
      <c r="K153" t="s">
        <v>56</v>
      </c>
      <c r="L153">
        <v>0</v>
      </c>
      <c r="M153" t="s">
        <v>73</v>
      </c>
      <c r="N153">
        <v>0</v>
      </c>
      <c r="O153" t="s">
        <v>58</v>
      </c>
      <c r="P153" t="s">
        <v>59</v>
      </c>
      <c r="Q153" t="s">
        <v>447</v>
      </c>
      <c r="R153" t="s">
        <v>446</v>
      </c>
      <c r="S153" s="1">
        <v>44430</v>
      </c>
      <c r="T153" s="1">
        <v>44433</v>
      </c>
      <c r="U153">
        <v>37501</v>
      </c>
      <c r="V153" t="s">
        <v>61</v>
      </c>
      <c r="W153" t="s">
        <v>448</v>
      </c>
      <c r="X153" s="1">
        <v>44439</v>
      </c>
      <c r="Y153" t="s">
        <v>63</v>
      </c>
      <c r="Z153">
        <v>162.93</v>
      </c>
      <c r="AA153">
        <v>16</v>
      </c>
      <c r="AB153">
        <v>26.07</v>
      </c>
      <c r="AC153">
        <v>18.899999999999999</v>
      </c>
      <c r="AD153">
        <v>207.9</v>
      </c>
      <c r="AE153">
        <v>3213.59</v>
      </c>
      <c r="AF153">
        <v>3818</v>
      </c>
      <c r="AG153" t="s">
        <v>454</v>
      </c>
      <c r="AH153" t="s">
        <v>65</v>
      </c>
      <c r="AI153" t="s">
        <v>65</v>
      </c>
      <c r="AJ153" t="s">
        <v>66</v>
      </c>
      <c r="AK153" t="s">
        <v>66</v>
      </c>
      <c r="AL153" t="s">
        <v>66</v>
      </c>
      <c r="AM153" s="2" t="str">
        <f>HYPERLINK("https://transparencia.cidesi.mx/comprobantes/2021/CQ2100715 /C4FWOR1-299_IHP810701G7A.pdf")</f>
        <v>https://transparencia.cidesi.mx/comprobantes/2021/CQ2100715 /C4FWOR1-299_IHP810701G7A.pdf</v>
      </c>
      <c r="AN153" t="str">
        <f>HYPERLINK("https://transparencia.cidesi.mx/comprobantes/2021/CQ2100715 /C4FWOR1-299_IHP810701G7A.pdf")</f>
        <v>https://transparencia.cidesi.mx/comprobantes/2021/CQ2100715 /C4FWOR1-299_IHP810701G7A.pdf</v>
      </c>
      <c r="AO153" t="str">
        <f>HYPERLINK("https://transparencia.cidesi.mx/comprobantes/2021/CQ2100715 /C4FWOR1-299_IHP810701G7A.xml")</f>
        <v>https://transparencia.cidesi.mx/comprobantes/2021/CQ2100715 /C4FWOR1-299_IHP810701G7A.xml</v>
      </c>
      <c r="AP153" t="s">
        <v>450</v>
      </c>
      <c r="AQ153" t="s">
        <v>451</v>
      </c>
      <c r="AR153" t="s">
        <v>452</v>
      </c>
      <c r="AS153" t="s">
        <v>453</v>
      </c>
      <c r="AT153" s="1">
        <v>44441</v>
      </c>
      <c r="AU153" s="1">
        <v>44442</v>
      </c>
    </row>
    <row r="154" spans="1:47" x14ac:dyDescent="0.3">
      <c r="A154" t="s">
        <v>455</v>
      </c>
      <c r="B154" t="s">
        <v>48</v>
      </c>
      <c r="C154" t="s">
        <v>49</v>
      </c>
      <c r="D154">
        <v>459</v>
      </c>
      <c r="E154" t="s">
        <v>456</v>
      </c>
      <c r="F154" t="s">
        <v>457</v>
      </c>
      <c r="G154" t="s">
        <v>351</v>
      </c>
      <c r="H154" t="s">
        <v>458</v>
      </c>
      <c r="I154" t="s">
        <v>54</v>
      </c>
      <c r="J154" t="s">
        <v>459</v>
      </c>
      <c r="K154" t="s">
        <v>56</v>
      </c>
      <c r="L154">
        <v>0</v>
      </c>
      <c r="M154" t="s">
        <v>73</v>
      </c>
      <c r="N154">
        <v>0</v>
      </c>
      <c r="O154" t="s">
        <v>58</v>
      </c>
      <c r="P154" t="s">
        <v>59</v>
      </c>
      <c r="Q154" t="s">
        <v>460</v>
      </c>
      <c r="R154" t="s">
        <v>459</v>
      </c>
      <c r="S154" s="1">
        <v>44381</v>
      </c>
      <c r="T154" s="1">
        <v>44386</v>
      </c>
      <c r="U154">
        <v>37501</v>
      </c>
      <c r="V154" t="s">
        <v>61</v>
      </c>
      <c r="W154" t="s">
        <v>461</v>
      </c>
      <c r="X154" s="1">
        <v>44396</v>
      </c>
      <c r="Y154" t="s">
        <v>63</v>
      </c>
      <c r="Z154">
        <v>558.14</v>
      </c>
      <c r="AA154">
        <v>16</v>
      </c>
      <c r="AB154">
        <v>77.66</v>
      </c>
      <c r="AC154">
        <v>0</v>
      </c>
      <c r="AD154">
        <v>635.79999999999995</v>
      </c>
      <c r="AE154">
        <v>9332</v>
      </c>
      <c r="AF154">
        <v>8618</v>
      </c>
      <c r="AG154" t="s">
        <v>462</v>
      </c>
      <c r="AH154" t="s">
        <v>65</v>
      </c>
      <c r="AI154" t="s">
        <v>65</v>
      </c>
      <c r="AJ154" t="s">
        <v>66</v>
      </c>
      <c r="AK154" t="s">
        <v>66</v>
      </c>
      <c r="AL154" t="s">
        <v>66</v>
      </c>
      <c r="AM154" s="2" t="str">
        <f>HYPERLINK("https://transparencia.cidesi.mx/comprobantes/2021/CQ2100528 /C3F33-5652_IRO760325HS6_PDF.pdf")</f>
        <v>https://transparencia.cidesi.mx/comprobantes/2021/CQ2100528 /C3F33-5652_IRO760325HS6_PDF.pdf</v>
      </c>
      <c r="AN154" t="str">
        <f>HYPERLINK("https://transparencia.cidesi.mx/comprobantes/2021/CQ2100528 /C3F33-5652_IRO760325HS6_PDF.pdf")</f>
        <v>https://transparencia.cidesi.mx/comprobantes/2021/CQ2100528 /C3F33-5652_IRO760325HS6_PDF.pdf</v>
      </c>
      <c r="AO154" t="str">
        <f>HYPERLINK("https://transparencia.cidesi.mx/comprobantes/2021/CQ2100528 /C3F33_5652_IRO760325HS6_XML.xml")</f>
        <v>https://transparencia.cidesi.mx/comprobantes/2021/CQ2100528 /C3F33_5652_IRO760325HS6_XML.xml</v>
      </c>
      <c r="AP154" t="s">
        <v>463</v>
      </c>
      <c r="AQ154" t="s">
        <v>464</v>
      </c>
      <c r="AR154" t="s">
        <v>465</v>
      </c>
      <c r="AS154" t="s">
        <v>466</v>
      </c>
      <c r="AT154" s="1">
        <v>44396</v>
      </c>
      <c r="AU154" s="1">
        <v>44397</v>
      </c>
    </row>
    <row r="155" spans="1:47" x14ac:dyDescent="0.3">
      <c r="A155" t="s">
        <v>455</v>
      </c>
      <c r="B155" t="s">
        <v>48</v>
      </c>
      <c r="C155" t="s">
        <v>49</v>
      </c>
      <c r="D155">
        <v>459</v>
      </c>
      <c r="E155" t="s">
        <v>456</v>
      </c>
      <c r="F155" t="s">
        <v>457</v>
      </c>
      <c r="G155" t="s">
        <v>351</v>
      </c>
      <c r="H155" t="s">
        <v>458</v>
      </c>
      <c r="I155" t="s">
        <v>54</v>
      </c>
      <c r="J155" t="s">
        <v>459</v>
      </c>
      <c r="K155" t="s">
        <v>56</v>
      </c>
      <c r="L155">
        <v>0</v>
      </c>
      <c r="M155" t="s">
        <v>73</v>
      </c>
      <c r="N155">
        <v>0</v>
      </c>
      <c r="O155" t="s">
        <v>58</v>
      </c>
      <c r="P155" t="s">
        <v>59</v>
      </c>
      <c r="Q155" t="s">
        <v>460</v>
      </c>
      <c r="R155" t="s">
        <v>459</v>
      </c>
      <c r="S155" s="1">
        <v>44381</v>
      </c>
      <c r="T155" s="1">
        <v>44386</v>
      </c>
      <c r="U155">
        <v>37501</v>
      </c>
      <c r="V155" t="s">
        <v>61</v>
      </c>
      <c r="W155" t="s">
        <v>461</v>
      </c>
      <c r="X155" s="1">
        <v>44396</v>
      </c>
      <c r="Y155" t="s">
        <v>63</v>
      </c>
      <c r="Z155">
        <v>419.36</v>
      </c>
      <c r="AA155">
        <v>16</v>
      </c>
      <c r="AB155">
        <v>58.34</v>
      </c>
      <c r="AC155">
        <v>0</v>
      </c>
      <c r="AD155">
        <v>477.7</v>
      </c>
      <c r="AE155">
        <v>9332</v>
      </c>
      <c r="AF155">
        <v>8618</v>
      </c>
      <c r="AG155" t="s">
        <v>462</v>
      </c>
      <c r="AH155" t="s">
        <v>65</v>
      </c>
      <c r="AI155" t="s">
        <v>65</v>
      </c>
      <c r="AJ155" t="s">
        <v>66</v>
      </c>
      <c r="AK155" t="s">
        <v>66</v>
      </c>
      <c r="AL155" t="s">
        <v>66</v>
      </c>
      <c r="AM155" s="2" t="str">
        <f>HYPERLINK("https://transparencia.cidesi.mx/comprobantes/2021/CQ2100528 /C4F33-5651_IRO760325HS6_PDF.pdf")</f>
        <v>https://transparencia.cidesi.mx/comprobantes/2021/CQ2100528 /C4F33-5651_IRO760325HS6_PDF.pdf</v>
      </c>
      <c r="AN155" t="str">
        <f>HYPERLINK("https://transparencia.cidesi.mx/comprobantes/2021/CQ2100528 /C4F33-5651_IRO760325HS6_PDF.pdf")</f>
        <v>https://transparencia.cidesi.mx/comprobantes/2021/CQ2100528 /C4F33-5651_IRO760325HS6_PDF.pdf</v>
      </c>
      <c r="AO155" t="str">
        <f>HYPERLINK("https://transparencia.cidesi.mx/comprobantes/2021/CQ2100528 /C4F33-5651_IRO760325HS6_XML.xml")</f>
        <v>https://transparencia.cidesi.mx/comprobantes/2021/CQ2100528 /C4F33-5651_IRO760325HS6_XML.xml</v>
      </c>
      <c r="AP155" t="s">
        <v>463</v>
      </c>
      <c r="AQ155" t="s">
        <v>464</v>
      </c>
      <c r="AR155" t="s">
        <v>465</v>
      </c>
      <c r="AS155" t="s">
        <v>466</v>
      </c>
      <c r="AT155" s="1">
        <v>44396</v>
      </c>
      <c r="AU155" s="1">
        <v>44397</v>
      </c>
    </row>
    <row r="156" spans="1:47" x14ac:dyDescent="0.3">
      <c r="A156" t="s">
        <v>455</v>
      </c>
      <c r="B156" t="s">
        <v>48</v>
      </c>
      <c r="C156" t="s">
        <v>49</v>
      </c>
      <c r="D156">
        <v>459</v>
      </c>
      <c r="E156" t="s">
        <v>456</v>
      </c>
      <c r="F156" t="s">
        <v>457</v>
      </c>
      <c r="G156" t="s">
        <v>351</v>
      </c>
      <c r="H156" t="s">
        <v>458</v>
      </c>
      <c r="I156" t="s">
        <v>54</v>
      </c>
      <c r="J156" t="s">
        <v>459</v>
      </c>
      <c r="K156" t="s">
        <v>56</v>
      </c>
      <c r="L156">
        <v>0</v>
      </c>
      <c r="M156" t="s">
        <v>73</v>
      </c>
      <c r="N156">
        <v>0</v>
      </c>
      <c r="O156" t="s">
        <v>58</v>
      </c>
      <c r="P156" t="s">
        <v>59</v>
      </c>
      <c r="Q156" t="s">
        <v>460</v>
      </c>
      <c r="R156" t="s">
        <v>459</v>
      </c>
      <c r="S156" s="1">
        <v>44381</v>
      </c>
      <c r="T156" s="1">
        <v>44386</v>
      </c>
      <c r="U156">
        <v>37501</v>
      </c>
      <c r="V156" t="s">
        <v>61</v>
      </c>
      <c r="W156" t="s">
        <v>461</v>
      </c>
      <c r="X156" s="1">
        <v>44396</v>
      </c>
      <c r="Y156" t="s">
        <v>63</v>
      </c>
      <c r="Z156">
        <v>275</v>
      </c>
      <c r="AA156">
        <v>16</v>
      </c>
      <c r="AB156">
        <v>44</v>
      </c>
      <c r="AC156">
        <v>31</v>
      </c>
      <c r="AD156">
        <v>350</v>
      </c>
      <c r="AE156">
        <v>9332</v>
      </c>
      <c r="AF156">
        <v>8618</v>
      </c>
      <c r="AG156" t="s">
        <v>462</v>
      </c>
      <c r="AH156" t="s">
        <v>65</v>
      </c>
      <c r="AI156" t="s">
        <v>65</v>
      </c>
      <c r="AJ156" t="s">
        <v>66</v>
      </c>
      <c r="AK156" t="s">
        <v>66</v>
      </c>
      <c r="AL156" t="s">
        <v>66</v>
      </c>
      <c r="AM156" s="2" t="str">
        <f>HYPERLINK("https://transparencia.cidesi.mx/comprobantes/2021/CQ2100528 /C6C17111_GGO920504SQ3_PDF.pdf")</f>
        <v>https://transparencia.cidesi.mx/comprobantes/2021/CQ2100528 /C6C17111_GGO920504SQ3_PDF.pdf</v>
      </c>
      <c r="AN156" t="str">
        <f>HYPERLINK("https://transparencia.cidesi.mx/comprobantes/2021/CQ2100528 /C6C17111_GGO920504SQ3_PDF.pdf")</f>
        <v>https://transparencia.cidesi.mx/comprobantes/2021/CQ2100528 /C6C17111_GGO920504SQ3_PDF.pdf</v>
      </c>
      <c r="AO156" t="str">
        <f>HYPERLINK("https://transparencia.cidesi.mx/comprobantes/2021/CQ2100528 /C6C17111_GGO920504SQ3_XML.xml")</f>
        <v>https://transparencia.cidesi.mx/comprobantes/2021/CQ2100528 /C6C17111_GGO920504SQ3_XML.xml</v>
      </c>
      <c r="AP156" t="s">
        <v>463</v>
      </c>
      <c r="AQ156" t="s">
        <v>464</v>
      </c>
      <c r="AR156" t="s">
        <v>465</v>
      </c>
      <c r="AS156" t="s">
        <v>466</v>
      </c>
      <c r="AT156" s="1">
        <v>44396</v>
      </c>
      <c r="AU156" s="1">
        <v>44397</v>
      </c>
    </row>
    <row r="157" spans="1:47" x14ac:dyDescent="0.3">
      <c r="A157" t="s">
        <v>455</v>
      </c>
      <c r="B157" t="s">
        <v>48</v>
      </c>
      <c r="C157" t="s">
        <v>49</v>
      </c>
      <c r="D157">
        <v>459</v>
      </c>
      <c r="E157" t="s">
        <v>456</v>
      </c>
      <c r="F157" t="s">
        <v>457</v>
      </c>
      <c r="G157" t="s">
        <v>351</v>
      </c>
      <c r="H157" t="s">
        <v>458</v>
      </c>
      <c r="I157" t="s">
        <v>54</v>
      </c>
      <c r="J157" t="s">
        <v>459</v>
      </c>
      <c r="K157" t="s">
        <v>56</v>
      </c>
      <c r="L157">
        <v>0</v>
      </c>
      <c r="M157" t="s">
        <v>73</v>
      </c>
      <c r="N157">
        <v>0</v>
      </c>
      <c r="O157" t="s">
        <v>58</v>
      </c>
      <c r="P157" t="s">
        <v>59</v>
      </c>
      <c r="Q157" t="s">
        <v>460</v>
      </c>
      <c r="R157" t="s">
        <v>459</v>
      </c>
      <c r="S157" s="1">
        <v>44381</v>
      </c>
      <c r="T157" s="1">
        <v>44386</v>
      </c>
      <c r="U157">
        <v>37501</v>
      </c>
      <c r="V157" t="s">
        <v>61</v>
      </c>
      <c r="W157" t="s">
        <v>461</v>
      </c>
      <c r="X157" s="1">
        <v>44396</v>
      </c>
      <c r="Y157" t="s">
        <v>63</v>
      </c>
      <c r="Z157">
        <v>312.93</v>
      </c>
      <c r="AA157">
        <v>16</v>
      </c>
      <c r="AB157">
        <v>50.07</v>
      </c>
      <c r="AC157">
        <v>0</v>
      </c>
      <c r="AD157">
        <v>363</v>
      </c>
      <c r="AE157">
        <v>9332</v>
      </c>
      <c r="AF157">
        <v>8618</v>
      </c>
      <c r="AG157" t="s">
        <v>462</v>
      </c>
      <c r="AH157" t="s">
        <v>65</v>
      </c>
      <c r="AI157" t="s">
        <v>65</v>
      </c>
      <c r="AJ157" t="s">
        <v>66</v>
      </c>
      <c r="AK157" t="s">
        <v>66</v>
      </c>
      <c r="AL157" t="s">
        <v>66</v>
      </c>
      <c r="AM157" s="2" t="str">
        <f>HYPERLINK("https://transparencia.cidesi.mx/comprobantes/2021/CQ2100528 /C7304_OLT1204245G7_PDF.pdf")</f>
        <v>https://transparencia.cidesi.mx/comprobantes/2021/CQ2100528 /C7304_OLT1204245G7_PDF.pdf</v>
      </c>
      <c r="AN157" t="str">
        <f>HYPERLINK("https://transparencia.cidesi.mx/comprobantes/2021/CQ2100528 /C7304_OLT1204245G7_PDF.pdf")</f>
        <v>https://transparencia.cidesi.mx/comprobantes/2021/CQ2100528 /C7304_OLT1204245G7_PDF.pdf</v>
      </c>
      <c r="AO157" t="str">
        <f>HYPERLINK("https://transparencia.cidesi.mx/comprobantes/2021/CQ2100528 /C7304_OLT1204245G7_XML.xml")</f>
        <v>https://transparencia.cidesi.mx/comprobantes/2021/CQ2100528 /C7304_OLT1204245G7_XML.xml</v>
      </c>
      <c r="AP157" t="s">
        <v>463</v>
      </c>
      <c r="AQ157" t="s">
        <v>464</v>
      </c>
      <c r="AR157" t="s">
        <v>465</v>
      </c>
      <c r="AS157" t="s">
        <v>466</v>
      </c>
      <c r="AT157" s="1">
        <v>44396</v>
      </c>
      <c r="AU157" s="1">
        <v>44397</v>
      </c>
    </row>
    <row r="158" spans="1:47" x14ac:dyDescent="0.3">
      <c r="A158" t="s">
        <v>455</v>
      </c>
      <c r="B158" t="s">
        <v>48</v>
      </c>
      <c r="C158" t="s">
        <v>49</v>
      </c>
      <c r="D158">
        <v>459</v>
      </c>
      <c r="E158" t="s">
        <v>456</v>
      </c>
      <c r="F158" t="s">
        <v>457</v>
      </c>
      <c r="G158" t="s">
        <v>351</v>
      </c>
      <c r="H158" t="s">
        <v>458</v>
      </c>
      <c r="I158" t="s">
        <v>54</v>
      </c>
      <c r="J158" t="s">
        <v>459</v>
      </c>
      <c r="K158" t="s">
        <v>56</v>
      </c>
      <c r="L158">
        <v>0</v>
      </c>
      <c r="M158" t="s">
        <v>73</v>
      </c>
      <c r="N158">
        <v>0</v>
      </c>
      <c r="O158" t="s">
        <v>58</v>
      </c>
      <c r="P158" t="s">
        <v>59</v>
      </c>
      <c r="Q158" t="s">
        <v>460</v>
      </c>
      <c r="R158" t="s">
        <v>459</v>
      </c>
      <c r="S158" s="1">
        <v>44381</v>
      </c>
      <c r="T158" s="1">
        <v>44386</v>
      </c>
      <c r="U158">
        <v>37501</v>
      </c>
      <c r="V158" t="s">
        <v>61</v>
      </c>
      <c r="W158" t="s">
        <v>461</v>
      </c>
      <c r="X158" s="1">
        <v>44396</v>
      </c>
      <c r="Y158" t="s">
        <v>63</v>
      </c>
      <c r="Z158">
        <v>103.45</v>
      </c>
      <c r="AA158">
        <v>16</v>
      </c>
      <c r="AB158">
        <v>16.55</v>
      </c>
      <c r="AC158">
        <v>0</v>
      </c>
      <c r="AD158">
        <v>120</v>
      </c>
      <c r="AE158">
        <v>9332</v>
      </c>
      <c r="AF158">
        <v>8618</v>
      </c>
      <c r="AG158" t="s">
        <v>462</v>
      </c>
      <c r="AH158" t="s">
        <v>65</v>
      </c>
      <c r="AI158" t="s">
        <v>65</v>
      </c>
      <c r="AJ158" t="s">
        <v>66</v>
      </c>
      <c r="AK158" t="s">
        <v>66</v>
      </c>
      <c r="AL158" t="s">
        <v>66</v>
      </c>
      <c r="AM158" s="2" t="str">
        <f>HYPERLINK("https://transparencia.cidesi.mx/comprobantes/2021/CQ2100528 /C8B33-3392_CCD130408S12_PDF.pdf")</f>
        <v>https://transparencia.cidesi.mx/comprobantes/2021/CQ2100528 /C8B33-3392_CCD130408S12_PDF.pdf</v>
      </c>
      <c r="AN158" t="str">
        <f>HYPERLINK("https://transparencia.cidesi.mx/comprobantes/2021/CQ2100528 /C8B33-3392_CCD130408S12_PDF.pdf")</f>
        <v>https://transparencia.cidesi.mx/comprobantes/2021/CQ2100528 /C8B33-3392_CCD130408S12_PDF.pdf</v>
      </c>
      <c r="AO158" t="str">
        <f>HYPERLINK("https://transparencia.cidesi.mx/comprobantes/2021/CQ2100528 /C8B33-3392_CCD130408S12_XML.xml")</f>
        <v>https://transparencia.cidesi.mx/comprobantes/2021/CQ2100528 /C8B33-3392_CCD130408S12_XML.xml</v>
      </c>
      <c r="AP158" t="s">
        <v>463</v>
      </c>
      <c r="AQ158" t="s">
        <v>464</v>
      </c>
      <c r="AR158" t="s">
        <v>465</v>
      </c>
      <c r="AS158" t="s">
        <v>466</v>
      </c>
      <c r="AT158" s="1">
        <v>44396</v>
      </c>
      <c r="AU158" s="1">
        <v>44397</v>
      </c>
    </row>
    <row r="159" spans="1:47" x14ac:dyDescent="0.3">
      <c r="A159" t="s">
        <v>455</v>
      </c>
      <c r="B159" t="s">
        <v>48</v>
      </c>
      <c r="C159" t="s">
        <v>49</v>
      </c>
      <c r="D159">
        <v>459</v>
      </c>
      <c r="E159" t="s">
        <v>456</v>
      </c>
      <c r="F159" t="s">
        <v>457</v>
      </c>
      <c r="G159" t="s">
        <v>351</v>
      </c>
      <c r="H159" t="s">
        <v>458</v>
      </c>
      <c r="I159" t="s">
        <v>54</v>
      </c>
      <c r="J159" t="s">
        <v>459</v>
      </c>
      <c r="K159" t="s">
        <v>56</v>
      </c>
      <c r="L159">
        <v>0</v>
      </c>
      <c r="M159" t="s">
        <v>73</v>
      </c>
      <c r="N159">
        <v>0</v>
      </c>
      <c r="O159" t="s">
        <v>58</v>
      </c>
      <c r="P159" t="s">
        <v>59</v>
      </c>
      <c r="Q159" t="s">
        <v>460</v>
      </c>
      <c r="R159" t="s">
        <v>459</v>
      </c>
      <c r="S159" s="1">
        <v>44381</v>
      </c>
      <c r="T159" s="1">
        <v>44386</v>
      </c>
      <c r="U159">
        <v>37501</v>
      </c>
      <c r="V159" t="s">
        <v>61</v>
      </c>
      <c r="W159" t="s">
        <v>461</v>
      </c>
      <c r="X159" s="1">
        <v>44396</v>
      </c>
      <c r="Y159" t="s">
        <v>63</v>
      </c>
      <c r="Z159">
        <v>90.78</v>
      </c>
      <c r="AA159">
        <v>16</v>
      </c>
      <c r="AB159">
        <v>7.72</v>
      </c>
      <c r="AC159">
        <v>0</v>
      </c>
      <c r="AD159">
        <v>98.5</v>
      </c>
      <c r="AE159">
        <v>9332</v>
      </c>
      <c r="AF159">
        <v>8618</v>
      </c>
      <c r="AG159" t="s">
        <v>462</v>
      </c>
      <c r="AH159" t="s">
        <v>65</v>
      </c>
      <c r="AI159" t="s">
        <v>65</v>
      </c>
      <c r="AJ159" t="s">
        <v>66</v>
      </c>
      <c r="AK159" t="s">
        <v>66</v>
      </c>
      <c r="AL159" t="s">
        <v>66</v>
      </c>
      <c r="AM159" s="2" t="str">
        <f>HYPERLINK("https://transparencia.cidesi.mx/comprobantes/2021/CQ2100528 /C11336849523_CCO8605231N4_PDF.pdf")</f>
        <v>https://transparencia.cidesi.mx/comprobantes/2021/CQ2100528 /C11336849523_CCO8605231N4_PDF.pdf</v>
      </c>
      <c r="AN159" t="str">
        <f>HYPERLINK("https://transparencia.cidesi.mx/comprobantes/2021/CQ2100528 /C11336849523_CCO8605231N4_PDF.pdf")</f>
        <v>https://transparencia.cidesi.mx/comprobantes/2021/CQ2100528 /C11336849523_CCO8605231N4_PDF.pdf</v>
      </c>
      <c r="AO159" t="str">
        <f>HYPERLINK("https://transparencia.cidesi.mx/comprobantes/2021/CQ2100528 /C11336849523_CCO8605231N4_XML.xml")</f>
        <v>https://transparencia.cidesi.mx/comprobantes/2021/CQ2100528 /C11336849523_CCO8605231N4_XML.xml</v>
      </c>
      <c r="AP159" t="s">
        <v>463</v>
      </c>
      <c r="AQ159" t="s">
        <v>464</v>
      </c>
      <c r="AR159" t="s">
        <v>465</v>
      </c>
      <c r="AS159" t="s">
        <v>466</v>
      </c>
      <c r="AT159" s="1">
        <v>44396</v>
      </c>
      <c r="AU159" s="1">
        <v>44397</v>
      </c>
    </row>
    <row r="160" spans="1:47" x14ac:dyDescent="0.3">
      <c r="A160" t="s">
        <v>455</v>
      </c>
      <c r="B160" t="s">
        <v>48</v>
      </c>
      <c r="C160" t="s">
        <v>49</v>
      </c>
      <c r="D160">
        <v>459</v>
      </c>
      <c r="E160" t="s">
        <v>456</v>
      </c>
      <c r="F160" t="s">
        <v>457</v>
      </c>
      <c r="G160" t="s">
        <v>351</v>
      </c>
      <c r="H160" t="s">
        <v>458</v>
      </c>
      <c r="I160" t="s">
        <v>54</v>
      </c>
      <c r="J160" t="s">
        <v>459</v>
      </c>
      <c r="K160" t="s">
        <v>56</v>
      </c>
      <c r="L160">
        <v>0</v>
      </c>
      <c r="M160" t="s">
        <v>73</v>
      </c>
      <c r="N160">
        <v>0</v>
      </c>
      <c r="O160" t="s">
        <v>58</v>
      </c>
      <c r="P160" t="s">
        <v>59</v>
      </c>
      <c r="Q160" t="s">
        <v>460</v>
      </c>
      <c r="R160" t="s">
        <v>459</v>
      </c>
      <c r="S160" s="1">
        <v>44381</v>
      </c>
      <c r="T160" s="1">
        <v>44386</v>
      </c>
      <c r="U160">
        <v>37201</v>
      </c>
      <c r="V160" t="s">
        <v>417</v>
      </c>
      <c r="W160" t="s">
        <v>461</v>
      </c>
      <c r="X160" s="1">
        <v>44396</v>
      </c>
      <c r="Y160" t="s">
        <v>63</v>
      </c>
      <c r="Z160">
        <v>400</v>
      </c>
      <c r="AA160">
        <v>16</v>
      </c>
      <c r="AB160">
        <v>64</v>
      </c>
      <c r="AC160">
        <v>0</v>
      </c>
      <c r="AD160">
        <v>464</v>
      </c>
      <c r="AE160">
        <v>9332</v>
      </c>
      <c r="AF160">
        <v>8618</v>
      </c>
      <c r="AG160" t="s">
        <v>467</v>
      </c>
      <c r="AH160" t="s">
        <v>66</v>
      </c>
      <c r="AI160" t="s">
        <v>65</v>
      </c>
      <c r="AJ160" t="s">
        <v>66</v>
      </c>
      <c r="AK160" t="s">
        <v>66</v>
      </c>
      <c r="AL160" t="s">
        <v>66</v>
      </c>
      <c r="AM160" s="2" t="str">
        <f>HYPERLINK("https://transparencia.cidesi.mx/comprobantes/2021/CQ2100528 /C1431C20_BULB7204066L2_PDF.pdf")</f>
        <v>https://transparencia.cidesi.mx/comprobantes/2021/CQ2100528 /C1431C20_BULB7204066L2_PDF.pdf</v>
      </c>
      <c r="AN160" t="str">
        <f>HYPERLINK("https://transparencia.cidesi.mx/comprobantes/2021/CQ2100528 /C1431C20_BULB7204066L2_PDF.pdf")</f>
        <v>https://transparencia.cidesi.mx/comprobantes/2021/CQ2100528 /C1431C20_BULB7204066L2_PDF.pdf</v>
      </c>
      <c r="AO160" t="str">
        <f>HYPERLINK("https://transparencia.cidesi.mx/comprobantes/2021/CQ2100528 /C1431C20_BULB7204066L2_XML.xml")</f>
        <v>https://transparencia.cidesi.mx/comprobantes/2021/CQ2100528 /C1431C20_BULB7204066L2_XML.xml</v>
      </c>
      <c r="AP160" t="s">
        <v>463</v>
      </c>
      <c r="AQ160" t="s">
        <v>464</v>
      </c>
      <c r="AR160" t="s">
        <v>465</v>
      </c>
      <c r="AS160" t="s">
        <v>466</v>
      </c>
      <c r="AT160" s="1">
        <v>44396</v>
      </c>
      <c r="AU160" s="1">
        <v>44397</v>
      </c>
    </row>
    <row r="161" spans="1:47" x14ac:dyDescent="0.3">
      <c r="A161" t="s">
        <v>455</v>
      </c>
      <c r="B161" t="s">
        <v>48</v>
      </c>
      <c r="C161" t="s">
        <v>49</v>
      </c>
      <c r="D161">
        <v>459</v>
      </c>
      <c r="E161" t="s">
        <v>456</v>
      </c>
      <c r="F161" t="s">
        <v>457</v>
      </c>
      <c r="G161" t="s">
        <v>351</v>
      </c>
      <c r="H161" t="s">
        <v>458</v>
      </c>
      <c r="I161" t="s">
        <v>54</v>
      </c>
      <c r="J161" t="s">
        <v>459</v>
      </c>
      <c r="K161" t="s">
        <v>56</v>
      </c>
      <c r="L161">
        <v>0</v>
      </c>
      <c r="M161" t="s">
        <v>73</v>
      </c>
      <c r="N161">
        <v>0</v>
      </c>
      <c r="O161" t="s">
        <v>58</v>
      </c>
      <c r="P161" t="s">
        <v>59</v>
      </c>
      <c r="Q161" t="s">
        <v>460</v>
      </c>
      <c r="R161" t="s">
        <v>459</v>
      </c>
      <c r="S161" s="1">
        <v>44381</v>
      </c>
      <c r="T161" s="1">
        <v>44386</v>
      </c>
      <c r="U161">
        <v>37201</v>
      </c>
      <c r="V161" t="s">
        <v>417</v>
      </c>
      <c r="W161" t="s">
        <v>461</v>
      </c>
      <c r="X161" s="1">
        <v>44396</v>
      </c>
      <c r="Y161" t="s">
        <v>63</v>
      </c>
      <c r="Z161">
        <v>250</v>
      </c>
      <c r="AA161">
        <v>0</v>
      </c>
      <c r="AB161">
        <v>0</v>
      </c>
      <c r="AC161">
        <v>0</v>
      </c>
      <c r="AD161">
        <v>250</v>
      </c>
      <c r="AE161">
        <v>9332</v>
      </c>
      <c r="AF161">
        <v>8618</v>
      </c>
      <c r="AG161" t="s">
        <v>467</v>
      </c>
      <c r="AH161" t="s">
        <v>66</v>
      </c>
      <c r="AI161" t="s">
        <v>65</v>
      </c>
      <c r="AJ161" t="s">
        <v>66</v>
      </c>
      <c r="AK161" t="s">
        <v>66</v>
      </c>
      <c r="AL161" t="s">
        <v>66</v>
      </c>
      <c r="AM161" s="2" t="str">
        <f>HYPERLINK("https://transparencia.cidesi.mx/comprobantes/2021/CQ2100528 /C1526921_AUR100128NN3_PDF.pdf")</f>
        <v>https://transparencia.cidesi.mx/comprobantes/2021/CQ2100528 /C1526921_AUR100128NN3_PDF.pdf</v>
      </c>
      <c r="AN161" t="str">
        <f>HYPERLINK("https://transparencia.cidesi.mx/comprobantes/2021/CQ2100528 /C1526921_AUR100128NN3_PDF.pdf")</f>
        <v>https://transparencia.cidesi.mx/comprobantes/2021/CQ2100528 /C1526921_AUR100128NN3_PDF.pdf</v>
      </c>
      <c r="AO161" t="str">
        <f>HYPERLINK("https://transparencia.cidesi.mx/comprobantes/2021/CQ2100528 /C1526921_AUR100128NN3_XML.xml")</f>
        <v>https://transparencia.cidesi.mx/comprobantes/2021/CQ2100528 /C1526921_AUR100128NN3_XML.xml</v>
      </c>
      <c r="AP161" t="s">
        <v>463</v>
      </c>
      <c r="AQ161" t="s">
        <v>464</v>
      </c>
      <c r="AR161" t="s">
        <v>465</v>
      </c>
      <c r="AS161" t="s">
        <v>466</v>
      </c>
      <c r="AT161" s="1">
        <v>44396</v>
      </c>
      <c r="AU161" s="1">
        <v>44397</v>
      </c>
    </row>
    <row r="162" spans="1:47" x14ac:dyDescent="0.3">
      <c r="A162" t="s">
        <v>455</v>
      </c>
      <c r="B162" t="s">
        <v>48</v>
      </c>
      <c r="C162" t="s">
        <v>49</v>
      </c>
      <c r="D162">
        <v>459</v>
      </c>
      <c r="E162" t="s">
        <v>456</v>
      </c>
      <c r="F162" t="s">
        <v>457</v>
      </c>
      <c r="G162" t="s">
        <v>351</v>
      </c>
      <c r="H162" t="s">
        <v>458</v>
      </c>
      <c r="I162" t="s">
        <v>54</v>
      </c>
      <c r="J162" t="s">
        <v>459</v>
      </c>
      <c r="K162" t="s">
        <v>56</v>
      </c>
      <c r="L162">
        <v>0</v>
      </c>
      <c r="M162" t="s">
        <v>73</v>
      </c>
      <c r="N162">
        <v>0</v>
      </c>
      <c r="O162" t="s">
        <v>58</v>
      </c>
      <c r="P162" t="s">
        <v>59</v>
      </c>
      <c r="Q162" t="s">
        <v>460</v>
      </c>
      <c r="R162" t="s">
        <v>459</v>
      </c>
      <c r="S162" s="1">
        <v>44381</v>
      </c>
      <c r="T162" s="1">
        <v>44386</v>
      </c>
      <c r="U162">
        <v>37501</v>
      </c>
      <c r="V162" t="s">
        <v>61</v>
      </c>
      <c r="W162" t="s">
        <v>461</v>
      </c>
      <c r="X162" s="1">
        <v>44396</v>
      </c>
      <c r="Y162" t="s">
        <v>63</v>
      </c>
      <c r="Z162">
        <v>491.79</v>
      </c>
      <c r="AA162">
        <v>16</v>
      </c>
      <c r="AB162">
        <v>95.72</v>
      </c>
      <c r="AC162">
        <v>0</v>
      </c>
      <c r="AD162">
        <v>587.51</v>
      </c>
      <c r="AE162">
        <v>9332</v>
      </c>
      <c r="AF162">
        <v>8618</v>
      </c>
      <c r="AG162" t="s">
        <v>462</v>
      </c>
      <c r="AH162" t="s">
        <v>65</v>
      </c>
      <c r="AI162" t="s">
        <v>65</v>
      </c>
      <c r="AJ162" t="s">
        <v>66</v>
      </c>
      <c r="AK162" t="s">
        <v>66</v>
      </c>
      <c r="AL162" t="s">
        <v>66</v>
      </c>
      <c r="AM162" s="2" t="str">
        <f>HYPERLINK("https://transparencia.cidesi.mx/comprobantes/2021/CQ2100528 /C16A12408_OGP110805JN3_PDF.pdf")</f>
        <v>https://transparencia.cidesi.mx/comprobantes/2021/CQ2100528 /C16A12408_OGP110805JN3_PDF.pdf</v>
      </c>
      <c r="AN162" t="str">
        <f>HYPERLINK("https://transparencia.cidesi.mx/comprobantes/2021/CQ2100528 /C16A12408_OGP110805JN3_PDF.pdf")</f>
        <v>https://transparencia.cidesi.mx/comprobantes/2021/CQ2100528 /C16A12408_OGP110805JN3_PDF.pdf</v>
      </c>
      <c r="AO162" t="str">
        <f>HYPERLINK("https://transparencia.cidesi.mx/comprobantes/2021/CQ2100528 /C16A12408_OGP110805JN3_XML.xml")</f>
        <v>https://transparencia.cidesi.mx/comprobantes/2021/CQ2100528 /C16A12408_OGP110805JN3_XML.xml</v>
      </c>
      <c r="AP162" t="s">
        <v>463</v>
      </c>
      <c r="AQ162" t="s">
        <v>464</v>
      </c>
      <c r="AR162" t="s">
        <v>465</v>
      </c>
      <c r="AS162" t="s">
        <v>466</v>
      </c>
      <c r="AT162" s="1">
        <v>44396</v>
      </c>
      <c r="AU162" s="1">
        <v>44397</v>
      </c>
    </row>
    <row r="163" spans="1:47" x14ac:dyDescent="0.3">
      <c r="A163" t="s">
        <v>455</v>
      </c>
      <c r="B163" t="s">
        <v>48</v>
      </c>
      <c r="C163" t="s">
        <v>49</v>
      </c>
      <c r="D163">
        <v>459</v>
      </c>
      <c r="E163" t="s">
        <v>456</v>
      </c>
      <c r="F163" t="s">
        <v>457</v>
      </c>
      <c r="G163" t="s">
        <v>351</v>
      </c>
      <c r="H163" t="s">
        <v>458</v>
      </c>
      <c r="I163" t="s">
        <v>54</v>
      </c>
      <c r="J163" t="s">
        <v>459</v>
      </c>
      <c r="K163" t="s">
        <v>56</v>
      </c>
      <c r="L163">
        <v>0</v>
      </c>
      <c r="M163" t="s">
        <v>73</v>
      </c>
      <c r="N163">
        <v>0</v>
      </c>
      <c r="O163" t="s">
        <v>58</v>
      </c>
      <c r="P163" t="s">
        <v>59</v>
      </c>
      <c r="Q163" t="s">
        <v>460</v>
      </c>
      <c r="R163" t="s">
        <v>459</v>
      </c>
      <c r="S163" s="1">
        <v>44381</v>
      </c>
      <c r="T163" s="1">
        <v>44386</v>
      </c>
      <c r="U163">
        <v>37501</v>
      </c>
      <c r="V163" t="s">
        <v>61</v>
      </c>
      <c r="W163" t="s">
        <v>461</v>
      </c>
      <c r="X163" s="1">
        <v>44396</v>
      </c>
      <c r="Y163" t="s">
        <v>63</v>
      </c>
      <c r="Z163">
        <v>60</v>
      </c>
      <c r="AA163">
        <v>0</v>
      </c>
      <c r="AB163">
        <v>0</v>
      </c>
      <c r="AC163">
        <v>0</v>
      </c>
      <c r="AD163">
        <v>60</v>
      </c>
      <c r="AE163">
        <v>9332</v>
      </c>
      <c r="AF163">
        <v>8618</v>
      </c>
      <c r="AG163" t="s">
        <v>462</v>
      </c>
      <c r="AH163" t="s">
        <v>65</v>
      </c>
      <c r="AI163" t="s">
        <v>65</v>
      </c>
      <c r="AJ163" t="s">
        <v>66</v>
      </c>
      <c r="AK163" t="s">
        <v>66</v>
      </c>
      <c r="AL163" t="s">
        <v>66</v>
      </c>
      <c r="AM163" s="2" t="str">
        <f>HYPERLINK("https://transparencia.cidesi.mx/comprobantes/2021/CQ2100528 /C17336854933_CCO8605231N4_PDF.pdf")</f>
        <v>https://transparencia.cidesi.mx/comprobantes/2021/CQ2100528 /C17336854933_CCO8605231N4_PDF.pdf</v>
      </c>
      <c r="AN163" t="str">
        <f>HYPERLINK("https://transparencia.cidesi.mx/comprobantes/2021/CQ2100528 /C17336854933_CCO8605231N4_PDF.pdf")</f>
        <v>https://transparencia.cidesi.mx/comprobantes/2021/CQ2100528 /C17336854933_CCO8605231N4_PDF.pdf</v>
      </c>
      <c r="AO163" t="str">
        <f>HYPERLINK("https://transparencia.cidesi.mx/comprobantes/2021/CQ2100528 /C17336854933_CCO8605231N4_XML.xml")</f>
        <v>https://transparencia.cidesi.mx/comprobantes/2021/CQ2100528 /C17336854933_CCO8605231N4_XML.xml</v>
      </c>
      <c r="AP163" t="s">
        <v>463</v>
      </c>
      <c r="AQ163" t="s">
        <v>464</v>
      </c>
      <c r="AR163" t="s">
        <v>465</v>
      </c>
      <c r="AS163" t="s">
        <v>466</v>
      </c>
      <c r="AT163" s="1">
        <v>44396</v>
      </c>
      <c r="AU163" s="1">
        <v>44397</v>
      </c>
    </row>
    <row r="164" spans="1:47" x14ac:dyDescent="0.3">
      <c r="A164" t="s">
        <v>455</v>
      </c>
      <c r="B164" t="s">
        <v>48</v>
      </c>
      <c r="C164" t="s">
        <v>49</v>
      </c>
      <c r="D164">
        <v>459</v>
      </c>
      <c r="E164" t="s">
        <v>456</v>
      </c>
      <c r="F164" t="s">
        <v>457</v>
      </c>
      <c r="G164" t="s">
        <v>351</v>
      </c>
      <c r="H164" t="s">
        <v>458</v>
      </c>
      <c r="I164" t="s">
        <v>54</v>
      </c>
      <c r="J164" t="s">
        <v>459</v>
      </c>
      <c r="K164" t="s">
        <v>56</v>
      </c>
      <c r="L164">
        <v>0</v>
      </c>
      <c r="M164" t="s">
        <v>73</v>
      </c>
      <c r="N164">
        <v>0</v>
      </c>
      <c r="O164" t="s">
        <v>58</v>
      </c>
      <c r="P164" t="s">
        <v>59</v>
      </c>
      <c r="Q164" t="s">
        <v>460</v>
      </c>
      <c r="R164" t="s">
        <v>459</v>
      </c>
      <c r="S164" s="1">
        <v>44381</v>
      </c>
      <c r="T164" s="1">
        <v>44386</v>
      </c>
      <c r="U164">
        <v>37501</v>
      </c>
      <c r="V164" t="s">
        <v>104</v>
      </c>
      <c r="W164" t="s">
        <v>461</v>
      </c>
      <c r="X164" s="1">
        <v>44396</v>
      </c>
      <c r="Y164" t="s">
        <v>63</v>
      </c>
      <c r="Z164">
        <v>2040</v>
      </c>
      <c r="AA164">
        <v>16</v>
      </c>
      <c r="AB164">
        <v>320</v>
      </c>
      <c r="AC164">
        <v>0</v>
      </c>
      <c r="AD164">
        <v>2360</v>
      </c>
      <c r="AE164">
        <v>9332</v>
      </c>
      <c r="AF164">
        <v>8618</v>
      </c>
      <c r="AG164" t="s">
        <v>468</v>
      </c>
      <c r="AH164" t="s">
        <v>65</v>
      </c>
      <c r="AI164" t="s">
        <v>65</v>
      </c>
      <c r="AJ164" t="s">
        <v>66</v>
      </c>
      <c r="AK164" t="s">
        <v>66</v>
      </c>
      <c r="AL164" t="s">
        <v>66</v>
      </c>
      <c r="AM164" s="2" t="str">
        <f>HYPERLINK("https://transparencia.cidesi.mx/comprobantes/2021/CQ2100528 /C18A33-25182_IRO760325HS6_PDF.pdf")</f>
        <v>https://transparencia.cidesi.mx/comprobantes/2021/CQ2100528 /C18A33-25182_IRO760325HS6_PDF.pdf</v>
      </c>
      <c r="AN164" t="str">
        <f>HYPERLINK("https://transparencia.cidesi.mx/comprobantes/2021/CQ2100528 /C18A33-25182_IRO760325HS6_PDF.pdf")</f>
        <v>https://transparencia.cidesi.mx/comprobantes/2021/CQ2100528 /C18A33-25182_IRO760325HS6_PDF.pdf</v>
      </c>
      <c r="AO164" t="str">
        <f>HYPERLINK("https://transparencia.cidesi.mx/comprobantes/2021/CQ2100528 /C18A33-25182_IRO760325HS6_XML.xml")</f>
        <v>https://transparencia.cidesi.mx/comprobantes/2021/CQ2100528 /C18A33-25182_IRO760325HS6_XML.xml</v>
      </c>
      <c r="AP164" t="s">
        <v>463</v>
      </c>
      <c r="AQ164" t="s">
        <v>464</v>
      </c>
      <c r="AR164" t="s">
        <v>465</v>
      </c>
      <c r="AS164" t="s">
        <v>466</v>
      </c>
      <c r="AT164" s="1">
        <v>44396</v>
      </c>
      <c r="AU164" s="1">
        <v>44397</v>
      </c>
    </row>
    <row r="165" spans="1:47" x14ac:dyDescent="0.3">
      <c r="A165" t="s">
        <v>455</v>
      </c>
      <c r="B165" t="s">
        <v>48</v>
      </c>
      <c r="C165" t="s">
        <v>49</v>
      </c>
      <c r="D165">
        <v>459</v>
      </c>
      <c r="E165" t="s">
        <v>456</v>
      </c>
      <c r="F165" t="s">
        <v>457</v>
      </c>
      <c r="G165" t="s">
        <v>351</v>
      </c>
      <c r="H165" t="s">
        <v>458</v>
      </c>
      <c r="I165" t="s">
        <v>54</v>
      </c>
      <c r="J165" t="s">
        <v>459</v>
      </c>
      <c r="K165" t="s">
        <v>56</v>
      </c>
      <c r="L165">
        <v>0</v>
      </c>
      <c r="M165" t="s">
        <v>73</v>
      </c>
      <c r="N165">
        <v>0</v>
      </c>
      <c r="O165" t="s">
        <v>58</v>
      </c>
      <c r="P165" t="s">
        <v>59</v>
      </c>
      <c r="Q165" t="s">
        <v>460</v>
      </c>
      <c r="R165" t="s">
        <v>459</v>
      </c>
      <c r="S165" s="1">
        <v>44381</v>
      </c>
      <c r="T165" s="1">
        <v>44386</v>
      </c>
      <c r="U165">
        <v>37501</v>
      </c>
      <c r="V165" t="s">
        <v>104</v>
      </c>
      <c r="W165" t="s">
        <v>461</v>
      </c>
      <c r="X165" s="1">
        <v>44396</v>
      </c>
      <c r="Y165" t="s">
        <v>63</v>
      </c>
      <c r="Z165">
        <v>3082.03</v>
      </c>
      <c r="AA165">
        <v>16</v>
      </c>
      <c r="AB165">
        <v>483.46</v>
      </c>
      <c r="AC165">
        <v>0</v>
      </c>
      <c r="AD165">
        <v>3565.49</v>
      </c>
      <c r="AE165">
        <v>9332</v>
      </c>
      <c r="AF165">
        <v>8618</v>
      </c>
      <c r="AG165" t="s">
        <v>468</v>
      </c>
      <c r="AH165" t="s">
        <v>65</v>
      </c>
      <c r="AI165" t="s">
        <v>65</v>
      </c>
      <c r="AJ165" t="s">
        <v>66</v>
      </c>
      <c r="AK165" t="s">
        <v>66</v>
      </c>
      <c r="AL165" t="s">
        <v>66</v>
      </c>
      <c r="AM165" s="2" t="str">
        <f>HYPERLINK("https://transparencia.cidesi.mx/comprobantes/2021/CQ2100528 /C19A33-30604_CCD130408S12_PDF.pdf")</f>
        <v>https://transparencia.cidesi.mx/comprobantes/2021/CQ2100528 /C19A33-30604_CCD130408S12_PDF.pdf</v>
      </c>
      <c r="AN165" t="str">
        <f>HYPERLINK("https://transparencia.cidesi.mx/comprobantes/2021/CQ2100528 /C19A33-30604_CCD130408S12_PDF.pdf")</f>
        <v>https://transparencia.cidesi.mx/comprobantes/2021/CQ2100528 /C19A33-30604_CCD130408S12_PDF.pdf</v>
      </c>
      <c r="AO165" t="str">
        <f>HYPERLINK("https://transparencia.cidesi.mx/comprobantes/2021/CQ2100528 /C19A33-30604_CCD130408S12_XML.xml")</f>
        <v>https://transparencia.cidesi.mx/comprobantes/2021/CQ2100528 /C19A33-30604_CCD130408S12_XML.xml</v>
      </c>
      <c r="AP165" t="s">
        <v>463</v>
      </c>
      <c r="AQ165" t="s">
        <v>464</v>
      </c>
      <c r="AR165" t="s">
        <v>465</v>
      </c>
      <c r="AS165" t="s">
        <v>466</v>
      </c>
      <c r="AT165" s="1">
        <v>44396</v>
      </c>
      <c r="AU165" s="1">
        <v>44397</v>
      </c>
    </row>
    <row r="166" spans="1:47" x14ac:dyDescent="0.3">
      <c r="A166" t="s">
        <v>455</v>
      </c>
      <c r="B166" t="s">
        <v>48</v>
      </c>
      <c r="C166" t="s">
        <v>49</v>
      </c>
      <c r="D166">
        <v>459</v>
      </c>
      <c r="E166" t="s">
        <v>456</v>
      </c>
      <c r="F166" t="s">
        <v>457</v>
      </c>
      <c r="G166" t="s">
        <v>351</v>
      </c>
      <c r="H166" t="s">
        <v>469</v>
      </c>
      <c r="I166" t="s">
        <v>54</v>
      </c>
      <c r="J166" t="s">
        <v>470</v>
      </c>
      <c r="K166" t="s">
        <v>56</v>
      </c>
      <c r="L166">
        <v>0</v>
      </c>
      <c r="M166" t="s">
        <v>73</v>
      </c>
      <c r="N166">
        <v>0</v>
      </c>
      <c r="O166" t="s">
        <v>58</v>
      </c>
      <c r="P166" t="s">
        <v>59</v>
      </c>
      <c r="Q166" t="s">
        <v>189</v>
      </c>
      <c r="R166" t="s">
        <v>470</v>
      </c>
      <c r="S166" s="1">
        <v>44381</v>
      </c>
      <c r="T166" s="1">
        <v>44381</v>
      </c>
      <c r="U166">
        <v>37104</v>
      </c>
      <c r="V166" t="s">
        <v>471</v>
      </c>
      <c r="W166" t="s">
        <v>472</v>
      </c>
      <c r="X166" s="1">
        <v>44379</v>
      </c>
      <c r="Y166" t="s">
        <v>63</v>
      </c>
      <c r="Z166">
        <v>2443.69</v>
      </c>
      <c r="AA166">
        <v>16</v>
      </c>
      <c r="AB166">
        <v>339.31</v>
      </c>
      <c r="AC166">
        <v>0</v>
      </c>
      <c r="AD166">
        <v>2783</v>
      </c>
      <c r="AE166">
        <v>6511</v>
      </c>
      <c r="AF166">
        <v>0</v>
      </c>
      <c r="AG166" t="s">
        <v>473</v>
      </c>
      <c r="AH166" t="s">
        <v>66</v>
      </c>
      <c r="AI166" t="s">
        <v>65</v>
      </c>
      <c r="AJ166" t="s">
        <v>66</v>
      </c>
      <c r="AK166" t="s">
        <v>66</v>
      </c>
      <c r="AL166" t="s">
        <v>66</v>
      </c>
      <c r="AM166" s="2" t="str">
        <f>HYPERLINK("https://transparencia.cidesi.mx/comprobantes/2021/CAQ210017 /C1F-1392122814293_AME880912189_PDF.pdf")</f>
        <v>https://transparencia.cidesi.mx/comprobantes/2021/CAQ210017 /C1F-1392122814293_AME880912189_PDF.pdf</v>
      </c>
      <c r="AN166" t="str">
        <f>HYPERLINK("https://transparencia.cidesi.mx/comprobantes/2021/CAQ210017 /C1F-1392122814293_AME880912189_PDF.pdf")</f>
        <v>https://transparencia.cidesi.mx/comprobantes/2021/CAQ210017 /C1F-1392122814293_AME880912189_PDF.pdf</v>
      </c>
      <c r="AO166" t="str">
        <f>HYPERLINK("https://transparencia.cidesi.mx/comprobantes/2021/CAQ210017 /C1F-1392122814293_AME880912189_XML.xml")</f>
        <v>https://transparencia.cidesi.mx/comprobantes/2021/CAQ210017 /C1F-1392122814293_AME880912189_XML.xml</v>
      </c>
      <c r="AP166" t="s">
        <v>474</v>
      </c>
      <c r="AQ166" t="s">
        <v>475</v>
      </c>
      <c r="AR166" t="s">
        <v>476</v>
      </c>
      <c r="AS166" t="s">
        <v>477</v>
      </c>
      <c r="AT166" s="1">
        <v>44382</v>
      </c>
      <c r="AU166" s="1">
        <v>44382</v>
      </c>
    </row>
    <row r="167" spans="1:47" x14ac:dyDescent="0.3">
      <c r="A167" t="s">
        <v>455</v>
      </c>
      <c r="B167" t="s">
        <v>48</v>
      </c>
      <c r="C167" t="s">
        <v>49</v>
      </c>
      <c r="D167">
        <v>459</v>
      </c>
      <c r="E167" t="s">
        <v>456</v>
      </c>
      <c r="F167" t="s">
        <v>457</v>
      </c>
      <c r="G167" t="s">
        <v>351</v>
      </c>
      <c r="H167" t="s">
        <v>469</v>
      </c>
      <c r="I167" t="s">
        <v>54</v>
      </c>
      <c r="J167" t="s">
        <v>470</v>
      </c>
      <c r="K167" t="s">
        <v>56</v>
      </c>
      <c r="L167">
        <v>0</v>
      </c>
      <c r="M167" t="s">
        <v>73</v>
      </c>
      <c r="N167">
        <v>0</v>
      </c>
      <c r="O167" t="s">
        <v>58</v>
      </c>
      <c r="P167" t="s">
        <v>59</v>
      </c>
      <c r="Q167" t="s">
        <v>189</v>
      </c>
      <c r="R167" t="s">
        <v>470</v>
      </c>
      <c r="S167" s="1">
        <v>44381</v>
      </c>
      <c r="T167" s="1">
        <v>44381</v>
      </c>
      <c r="U167">
        <v>37104</v>
      </c>
      <c r="V167" t="s">
        <v>471</v>
      </c>
      <c r="W167" t="s">
        <v>472</v>
      </c>
      <c r="X167" s="1">
        <v>44379</v>
      </c>
      <c r="Y167" t="s">
        <v>63</v>
      </c>
      <c r="Z167">
        <v>3268.14</v>
      </c>
      <c r="AA167">
        <v>16</v>
      </c>
      <c r="AB167">
        <v>459.86</v>
      </c>
      <c r="AC167">
        <v>0</v>
      </c>
      <c r="AD167">
        <v>3728</v>
      </c>
      <c r="AE167">
        <v>6511</v>
      </c>
      <c r="AF167">
        <v>0</v>
      </c>
      <c r="AG167" t="s">
        <v>473</v>
      </c>
      <c r="AH167" t="s">
        <v>66</v>
      </c>
      <c r="AI167" t="s">
        <v>65</v>
      </c>
      <c r="AJ167" t="s">
        <v>66</v>
      </c>
      <c r="AK167" t="s">
        <v>66</v>
      </c>
      <c r="AL167" t="s">
        <v>66</v>
      </c>
      <c r="AM167" s="2" t="str">
        <f>HYPERLINK("https://transparencia.cidesi.mx/comprobantes/2021/CAQ210017 /C2F-1392122814478_AME880912189_PDF.pdf")</f>
        <v>https://transparencia.cidesi.mx/comprobantes/2021/CAQ210017 /C2F-1392122814478_AME880912189_PDF.pdf</v>
      </c>
      <c r="AN167" t="str">
        <f>HYPERLINK("https://transparencia.cidesi.mx/comprobantes/2021/CAQ210017 /C2F-1392122814478_AME880912189_PDF.pdf")</f>
        <v>https://transparencia.cidesi.mx/comprobantes/2021/CAQ210017 /C2F-1392122814478_AME880912189_PDF.pdf</v>
      </c>
      <c r="AO167" t="str">
        <f>HYPERLINK("https://transparencia.cidesi.mx/comprobantes/2021/CAQ210017 /C2F-1392122814478_AME880912189_XML.xml")</f>
        <v>https://transparencia.cidesi.mx/comprobantes/2021/CAQ210017 /C2F-1392122814478_AME880912189_XML.xml</v>
      </c>
      <c r="AP167" t="s">
        <v>474</v>
      </c>
      <c r="AQ167" t="s">
        <v>475</v>
      </c>
      <c r="AR167" t="s">
        <v>476</v>
      </c>
      <c r="AS167" t="s">
        <v>477</v>
      </c>
      <c r="AT167" s="1">
        <v>44382</v>
      </c>
      <c r="AU167" s="1">
        <v>44382</v>
      </c>
    </row>
    <row r="168" spans="1:47" x14ac:dyDescent="0.3">
      <c r="A168" t="s">
        <v>455</v>
      </c>
      <c r="B168" t="s">
        <v>48</v>
      </c>
      <c r="C168" t="s">
        <v>49</v>
      </c>
      <c r="D168">
        <v>459</v>
      </c>
      <c r="E168" t="s">
        <v>456</v>
      </c>
      <c r="F168" t="s">
        <v>457</v>
      </c>
      <c r="G168" t="s">
        <v>351</v>
      </c>
      <c r="H168" t="s">
        <v>478</v>
      </c>
      <c r="I168" t="s">
        <v>54</v>
      </c>
      <c r="J168" t="s">
        <v>479</v>
      </c>
      <c r="K168" t="s">
        <v>56</v>
      </c>
      <c r="L168">
        <v>0</v>
      </c>
      <c r="M168" t="s">
        <v>73</v>
      </c>
      <c r="N168">
        <v>0</v>
      </c>
      <c r="O168" t="s">
        <v>58</v>
      </c>
      <c r="P168" t="s">
        <v>59</v>
      </c>
      <c r="Q168" t="s">
        <v>216</v>
      </c>
      <c r="R168" t="s">
        <v>479</v>
      </c>
      <c r="S168" s="1">
        <v>44390</v>
      </c>
      <c r="T168" s="1">
        <v>44390</v>
      </c>
      <c r="U168">
        <v>37501</v>
      </c>
      <c r="V168" t="s">
        <v>61</v>
      </c>
      <c r="W168" t="s">
        <v>480</v>
      </c>
      <c r="X168" s="1">
        <v>44391</v>
      </c>
      <c r="Y168" t="s">
        <v>207</v>
      </c>
      <c r="Z168">
        <v>0.01</v>
      </c>
      <c r="AA168">
        <v>0</v>
      </c>
      <c r="AB168">
        <v>0</v>
      </c>
      <c r="AC168">
        <v>0</v>
      </c>
      <c r="AD168">
        <v>0.01</v>
      </c>
      <c r="AE168">
        <v>0.01</v>
      </c>
      <c r="AF168">
        <v>783</v>
      </c>
      <c r="AG168" t="s">
        <v>462</v>
      </c>
      <c r="AH168" t="s">
        <v>66</v>
      </c>
      <c r="AI168" t="s">
        <v>66</v>
      </c>
      <c r="AJ168" t="s">
        <v>66</v>
      </c>
      <c r="AK168" t="s">
        <v>66</v>
      </c>
      <c r="AL168" t="s">
        <v>66</v>
      </c>
      <c r="AM168" s="2" t="s">
        <v>73</v>
      </c>
      <c r="AN168" t="s">
        <v>73</v>
      </c>
      <c r="AO168" t="s">
        <v>73</v>
      </c>
      <c r="AP168" t="s">
        <v>481</v>
      </c>
      <c r="AQ168" t="s">
        <v>482</v>
      </c>
      <c r="AR168" t="s">
        <v>483</v>
      </c>
      <c r="AS168" t="s">
        <v>484</v>
      </c>
      <c r="AT168" s="1">
        <v>44392</v>
      </c>
      <c r="AU168" t="s">
        <v>73</v>
      </c>
    </row>
    <row r="169" spans="1:47" x14ac:dyDescent="0.3">
      <c r="A169" t="s">
        <v>455</v>
      </c>
      <c r="B169" t="s">
        <v>48</v>
      </c>
      <c r="C169" t="s">
        <v>49</v>
      </c>
      <c r="D169">
        <v>459</v>
      </c>
      <c r="E169" t="s">
        <v>456</v>
      </c>
      <c r="F169" t="s">
        <v>457</v>
      </c>
      <c r="G169" t="s">
        <v>351</v>
      </c>
      <c r="H169" t="s">
        <v>485</v>
      </c>
      <c r="I169" t="s">
        <v>54</v>
      </c>
      <c r="J169" t="s">
        <v>55</v>
      </c>
      <c r="K169" t="s">
        <v>56</v>
      </c>
      <c r="L169">
        <v>0</v>
      </c>
      <c r="M169" t="s">
        <v>73</v>
      </c>
      <c r="N169">
        <v>0</v>
      </c>
      <c r="O169" t="s">
        <v>58</v>
      </c>
      <c r="P169" t="s">
        <v>59</v>
      </c>
      <c r="Q169" t="s">
        <v>60</v>
      </c>
      <c r="R169" t="s">
        <v>55</v>
      </c>
      <c r="S169" s="1">
        <v>44391</v>
      </c>
      <c r="T169" s="1">
        <v>44391</v>
      </c>
      <c r="U169">
        <v>37501</v>
      </c>
      <c r="V169" t="s">
        <v>61</v>
      </c>
      <c r="W169" t="s">
        <v>486</v>
      </c>
      <c r="X169" s="1">
        <v>44393</v>
      </c>
      <c r="Y169" t="s">
        <v>100</v>
      </c>
      <c r="Z169">
        <v>375</v>
      </c>
      <c r="AA169">
        <v>16</v>
      </c>
      <c r="AB169">
        <v>60</v>
      </c>
      <c r="AC169">
        <v>43</v>
      </c>
      <c r="AD169">
        <v>478</v>
      </c>
      <c r="AE169">
        <v>588</v>
      </c>
      <c r="AF169">
        <v>783</v>
      </c>
      <c r="AG169" t="s">
        <v>462</v>
      </c>
      <c r="AH169" t="s">
        <v>65</v>
      </c>
      <c r="AI169" t="s">
        <v>65</v>
      </c>
      <c r="AJ169" t="s">
        <v>66</v>
      </c>
      <c r="AK169" t="s">
        <v>66</v>
      </c>
      <c r="AL169" t="s">
        <v>66</v>
      </c>
      <c r="AM169" s="2" t="str">
        <f>HYPERLINK("https://transparencia.cidesi.mx/comprobantes/2021/CQ2100513 /C1C17185_GGO920504SQ3_PDF.pdf")</f>
        <v>https://transparencia.cidesi.mx/comprobantes/2021/CQ2100513 /C1C17185_GGO920504SQ3_PDF.pdf</v>
      </c>
      <c r="AN169" t="str">
        <f>HYPERLINK("https://transparencia.cidesi.mx/comprobantes/2021/CQ2100513 /C1C17185_GGO920504SQ3_PDF.pdf")</f>
        <v>https://transparencia.cidesi.mx/comprobantes/2021/CQ2100513 /C1C17185_GGO920504SQ3_PDF.pdf</v>
      </c>
      <c r="AO169" t="str">
        <f>HYPERLINK("https://transparencia.cidesi.mx/comprobantes/2021/CQ2100513 /C1C17185_GGO920504SQ3_XML.xml")</f>
        <v>https://transparencia.cidesi.mx/comprobantes/2021/CQ2100513 /C1C17185_GGO920504SQ3_XML.xml</v>
      </c>
      <c r="AP169" t="s">
        <v>487</v>
      </c>
      <c r="AQ169" t="s">
        <v>488</v>
      </c>
      <c r="AR169" t="s">
        <v>489</v>
      </c>
      <c r="AS169" t="s">
        <v>490</v>
      </c>
      <c r="AT169" s="1">
        <v>44396</v>
      </c>
      <c r="AU169" t="s">
        <v>73</v>
      </c>
    </row>
    <row r="170" spans="1:47" x14ac:dyDescent="0.3">
      <c r="A170" t="s">
        <v>455</v>
      </c>
      <c r="B170" t="s">
        <v>48</v>
      </c>
      <c r="C170" t="s">
        <v>49</v>
      </c>
      <c r="D170">
        <v>459</v>
      </c>
      <c r="E170" t="s">
        <v>456</v>
      </c>
      <c r="F170" t="s">
        <v>457</v>
      </c>
      <c r="G170" t="s">
        <v>351</v>
      </c>
      <c r="H170" t="s">
        <v>485</v>
      </c>
      <c r="I170" t="s">
        <v>54</v>
      </c>
      <c r="J170" t="s">
        <v>55</v>
      </c>
      <c r="K170" t="s">
        <v>56</v>
      </c>
      <c r="L170">
        <v>0</v>
      </c>
      <c r="M170" t="s">
        <v>73</v>
      </c>
      <c r="N170">
        <v>0</v>
      </c>
      <c r="O170" t="s">
        <v>58</v>
      </c>
      <c r="P170" t="s">
        <v>59</v>
      </c>
      <c r="Q170" t="s">
        <v>60</v>
      </c>
      <c r="R170" t="s">
        <v>55</v>
      </c>
      <c r="S170" s="1">
        <v>44391</v>
      </c>
      <c r="T170" s="1">
        <v>44391</v>
      </c>
      <c r="U170">
        <v>37501</v>
      </c>
      <c r="V170" t="s">
        <v>61</v>
      </c>
      <c r="W170" t="s">
        <v>486</v>
      </c>
      <c r="X170" s="1">
        <v>44393</v>
      </c>
      <c r="Y170" t="s">
        <v>100</v>
      </c>
      <c r="Z170">
        <v>94.83</v>
      </c>
      <c r="AA170">
        <v>16</v>
      </c>
      <c r="AB170">
        <v>15.17</v>
      </c>
      <c r="AC170">
        <v>0</v>
      </c>
      <c r="AD170">
        <v>110</v>
      </c>
      <c r="AE170">
        <v>588</v>
      </c>
      <c r="AF170">
        <v>783</v>
      </c>
      <c r="AG170" t="s">
        <v>462</v>
      </c>
      <c r="AH170" t="s">
        <v>65</v>
      </c>
      <c r="AI170" t="s">
        <v>65</v>
      </c>
      <c r="AJ170" t="s">
        <v>66</v>
      </c>
      <c r="AK170" t="s">
        <v>66</v>
      </c>
      <c r="AL170" t="s">
        <v>66</v>
      </c>
      <c r="AM170" s="2" t="str">
        <f>HYPERLINK("https://transparencia.cidesi.mx/comprobantes/2021/CQ2100513 /C2FTDA4365033_SHE190630V37_PDF.pdf")</f>
        <v>https://transparencia.cidesi.mx/comprobantes/2021/CQ2100513 /C2FTDA4365033_SHE190630V37_PDF.pdf</v>
      </c>
      <c r="AN170" t="str">
        <f>HYPERLINK("https://transparencia.cidesi.mx/comprobantes/2021/CQ2100513 /C2FTDA4365033_SHE190630V37_PDF.pdf")</f>
        <v>https://transparencia.cidesi.mx/comprobantes/2021/CQ2100513 /C2FTDA4365033_SHE190630V37_PDF.pdf</v>
      </c>
      <c r="AO170" t="str">
        <f>HYPERLINK("https://transparencia.cidesi.mx/comprobantes/2021/CQ2100513 /C2FTDA4365033_SHE190630V37_XML.xml")</f>
        <v>https://transparencia.cidesi.mx/comprobantes/2021/CQ2100513 /C2FTDA4365033_SHE190630V37_XML.xml</v>
      </c>
      <c r="AP170" t="s">
        <v>487</v>
      </c>
      <c r="AQ170" t="s">
        <v>488</v>
      </c>
      <c r="AR170" t="s">
        <v>489</v>
      </c>
      <c r="AS170" t="s">
        <v>490</v>
      </c>
      <c r="AT170" s="1">
        <v>44396</v>
      </c>
      <c r="AU170" t="s">
        <v>73</v>
      </c>
    </row>
    <row r="171" spans="1:47" x14ac:dyDescent="0.3">
      <c r="A171" t="s">
        <v>455</v>
      </c>
      <c r="B171" t="s">
        <v>48</v>
      </c>
      <c r="C171" t="s">
        <v>49</v>
      </c>
      <c r="D171">
        <v>459</v>
      </c>
      <c r="E171" t="s">
        <v>456</v>
      </c>
      <c r="F171" t="s">
        <v>457</v>
      </c>
      <c r="G171" t="s">
        <v>351</v>
      </c>
      <c r="H171" t="s">
        <v>491</v>
      </c>
      <c r="I171" t="s">
        <v>54</v>
      </c>
      <c r="J171" t="s">
        <v>492</v>
      </c>
      <c r="K171" t="s">
        <v>56</v>
      </c>
      <c r="L171">
        <v>101019</v>
      </c>
      <c r="M171" t="s">
        <v>493</v>
      </c>
      <c r="N171">
        <v>0</v>
      </c>
      <c r="O171" t="s">
        <v>58</v>
      </c>
      <c r="P171" t="s">
        <v>59</v>
      </c>
      <c r="Q171" t="s">
        <v>460</v>
      </c>
      <c r="R171" t="s">
        <v>492</v>
      </c>
      <c r="S171" s="1">
        <v>44405</v>
      </c>
      <c r="T171" s="1">
        <v>44407</v>
      </c>
      <c r="U171">
        <v>37501</v>
      </c>
      <c r="V171" t="s">
        <v>61</v>
      </c>
      <c r="W171" t="s">
        <v>494</v>
      </c>
      <c r="X171" s="1">
        <v>44411</v>
      </c>
      <c r="Y171" t="s">
        <v>63</v>
      </c>
      <c r="Z171">
        <v>134.47999999999999</v>
      </c>
      <c r="AA171">
        <v>16</v>
      </c>
      <c r="AB171">
        <v>21.52</v>
      </c>
      <c r="AC171">
        <v>0</v>
      </c>
      <c r="AD171">
        <v>156</v>
      </c>
      <c r="AE171">
        <v>4474.3100000000004</v>
      </c>
      <c r="AF171">
        <v>5172</v>
      </c>
      <c r="AG171" t="s">
        <v>462</v>
      </c>
      <c r="AH171" t="s">
        <v>65</v>
      </c>
      <c r="AI171" t="s">
        <v>65</v>
      </c>
      <c r="AJ171" t="s">
        <v>66</v>
      </c>
      <c r="AK171" t="s">
        <v>66</v>
      </c>
      <c r="AL171" t="s">
        <v>66</v>
      </c>
      <c r="AM171" s="2" t="str">
        <f>HYPERLINK("https://transparencia.cidesi.mx/comprobantes/2021/CQ2100596 /C178549_FBW151214A52_PDF.pdf")</f>
        <v>https://transparencia.cidesi.mx/comprobantes/2021/CQ2100596 /C178549_FBW151214A52_PDF.pdf</v>
      </c>
      <c r="AN171" t="str">
        <f>HYPERLINK("https://transparencia.cidesi.mx/comprobantes/2021/CQ2100596 /C178549_FBW151214A52_PDF.pdf")</f>
        <v>https://transparencia.cidesi.mx/comprobantes/2021/CQ2100596 /C178549_FBW151214A52_PDF.pdf</v>
      </c>
      <c r="AO171" t="str">
        <f>HYPERLINK("https://transparencia.cidesi.mx/comprobantes/2021/CQ2100596 /C178549_FBW151214A52_XML.xml")</f>
        <v>https://transparencia.cidesi.mx/comprobantes/2021/CQ2100596 /C178549_FBW151214A52_XML.xml</v>
      </c>
      <c r="AP171" t="s">
        <v>495</v>
      </c>
      <c r="AQ171" t="s">
        <v>464</v>
      </c>
      <c r="AR171" t="s">
        <v>496</v>
      </c>
      <c r="AS171" t="s">
        <v>497</v>
      </c>
      <c r="AT171" s="1">
        <v>44412</v>
      </c>
      <c r="AU171" s="1">
        <v>44420</v>
      </c>
    </row>
    <row r="172" spans="1:47" x14ac:dyDescent="0.3">
      <c r="A172" t="s">
        <v>455</v>
      </c>
      <c r="B172" t="s">
        <v>48</v>
      </c>
      <c r="C172" t="s">
        <v>49</v>
      </c>
      <c r="D172">
        <v>459</v>
      </c>
      <c r="E172" t="s">
        <v>456</v>
      </c>
      <c r="F172" t="s">
        <v>457</v>
      </c>
      <c r="G172" t="s">
        <v>351</v>
      </c>
      <c r="H172" t="s">
        <v>491</v>
      </c>
      <c r="I172" t="s">
        <v>54</v>
      </c>
      <c r="J172" t="s">
        <v>492</v>
      </c>
      <c r="K172" t="s">
        <v>56</v>
      </c>
      <c r="L172">
        <v>101019</v>
      </c>
      <c r="M172" t="s">
        <v>493</v>
      </c>
      <c r="N172">
        <v>0</v>
      </c>
      <c r="O172" t="s">
        <v>58</v>
      </c>
      <c r="P172" t="s">
        <v>59</v>
      </c>
      <c r="Q172" t="s">
        <v>460</v>
      </c>
      <c r="R172" t="s">
        <v>492</v>
      </c>
      <c r="S172" s="1">
        <v>44405</v>
      </c>
      <c r="T172" s="1">
        <v>44407</v>
      </c>
      <c r="U172">
        <v>37501</v>
      </c>
      <c r="V172" t="s">
        <v>61</v>
      </c>
      <c r="W172" t="s">
        <v>494</v>
      </c>
      <c r="X172" s="1">
        <v>44411</v>
      </c>
      <c r="Y172" t="s">
        <v>63</v>
      </c>
      <c r="Z172">
        <v>122.42</v>
      </c>
      <c r="AA172">
        <v>16</v>
      </c>
      <c r="AB172">
        <v>11.58</v>
      </c>
      <c r="AC172">
        <v>0</v>
      </c>
      <c r="AD172">
        <v>134</v>
      </c>
      <c r="AE172">
        <v>4474.3100000000004</v>
      </c>
      <c r="AF172">
        <v>5172</v>
      </c>
      <c r="AG172" t="s">
        <v>462</v>
      </c>
      <c r="AH172" t="s">
        <v>65</v>
      </c>
      <c r="AI172" t="s">
        <v>65</v>
      </c>
      <c r="AJ172" t="s">
        <v>66</v>
      </c>
      <c r="AK172" t="s">
        <v>66</v>
      </c>
      <c r="AL172" t="s">
        <v>66</v>
      </c>
      <c r="AM172" s="2" t="str">
        <f>HYPERLINK("https://transparencia.cidesi.mx/comprobantes/2021/CQ2100596 /C2339792545_CCO8605231N4_PDF.pdf")</f>
        <v>https://transparencia.cidesi.mx/comprobantes/2021/CQ2100596 /C2339792545_CCO8605231N4_PDF.pdf</v>
      </c>
      <c r="AN172" t="str">
        <f>HYPERLINK("https://transparencia.cidesi.mx/comprobantes/2021/CQ2100596 /C2339792545_CCO8605231N4_PDF.pdf")</f>
        <v>https://transparencia.cidesi.mx/comprobantes/2021/CQ2100596 /C2339792545_CCO8605231N4_PDF.pdf</v>
      </c>
      <c r="AO172" t="str">
        <f>HYPERLINK("https://transparencia.cidesi.mx/comprobantes/2021/CQ2100596 /C2339792545_CCO8605231N4_XML.xml")</f>
        <v>https://transparencia.cidesi.mx/comprobantes/2021/CQ2100596 /C2339792545_CCO8605231N4_XML.xml</v>
      </c>
      <c r="AP172" t="s">
        <v>495</v>
      </c>
      <c r="AQ172" t="s">
        <v>464</v>
      </c>
      <c r="AR172" t="s">
        <v>496</v>
      </c>
      <c r="AS172" t="s">
        <v>497</v>
      </c>
      <c r="AT172" s="1">
        <v>44412</v>
      </c>
      <c r="AU172" s="1">
        <v>44420</v>
      </c>
    </row>
    <row r="173" spans="1:47" x14ac:dyDescent="0.3">
      <c r="A173" t="s">
        <v>455</v>
      </c>
      <c r="B173" t="s">
        <v>48</v>
      </c>
      <c r="C173" t="s">
        <v>49</v>
      </c>
      <c r="D173">
        <v>459</v>
      </c>
      <c r="E173" t="s">
        <v>456</v>
      </c>
      <c r="F173" t="s">
        <v>457</v>
      </c>
      <c r="G173" t="s">
        <v>351</v>
      </c>
      <c r="H173" t="s">
        <v>491</v>
      </c>
      <c r="I173" t="s">
        <v>54</v>
      </c>
      <c r="J173" t="s">
        <v>492</v>
      </c>
      <c r="K173" t="s">
        <v>56</v>
      </c>
      <c r="L173">
        <v>101019</v>
      </c>
      <c r="M173" t="s">
        <v>493</v>
      </c>
      <c r="N173">
        <v>0</v>
      </c>
      <c r="O173" t="s">
        <v>58</v>
      </c>
      <c r="P173" t="s">
        <v>59</v>
      </c>
      <c r="Q173" t="s">
        <v>460</v>
      </c>
      <c r="R173" t="s">
        <v>492</v>
      </c>
      <c r="S173" s="1">
        <v>44405</v>
      </c>
      <c r="T173" s="1">
        <v>44407</v>
      </c>
      <c r="U173">
        <v>37501</v>
      </c>
      <c r="V173" t="s">
        <v>61</v>
      </c>
      <c r="W173" t="s">
        <v>494</v>
      </c>
      <c r="X173" s="1">
        <v>44411</v>
      </c>
      <c r="Y173" t="s">
        <v>63</v>
      </c>
      <c r="Z173">
        <v>441.81</v>
      </c>
      <c r="AA173">
        <v>16</v>
      </c>
      <c r="AB173">
        <v>70.69</v>
      </c>
      <c r="AC173">
        <v>0</v>
      </c>
      <c r="AD173">
        <v>512.5</v>
      </c>
      <c r="AE173">
        <v>4474.3100000000004</v>
      </c>
      <c r="AF173">
        <v>5172</v>
      </c>
      <c r="AG173" t="s">
        <v>462</v>
      </c>
      <c r="AH173" t="s">
        <v>65</v>
      </c>
      <c r="AI173" t="s">
        <v>65</v>
      </c>
      <c r="AJ173" t="s">
        <v>66</v>
      </c>
      <c r="AK173" t="s">
        <v>66</v>
      </c>
      <c r="AL173" t="s">
        <v>66</v>
      </c>
      <c r="AM173" s="2" t="str">
        <f>HYPERLINK("https://transparencia.cidesi.mx/comprobantes/2021/CQ2100596 /C3A12559_OGP110805JN3_PDF.pdf")</f>
        <v>https://transparencia.cidesi.mx/comprobantes/2021/CQ2100596 /C3A12559_OGP110805JN3_PDF.pdf</v>
      </c>
      <c r="AN173" t="str">
        <f>HYPERLINK("https://transparencia.cidesi.mx/comprobantes/2021/CQ2100596 /C3A12559_OGP110805JN3_PDF.pdf")</f>
        <v>https://transparencia.cidesi.mx/comprobantes/2021/CQ2100596 /C3A12559_OGP110805JN3_PDF.pdf</v>
      </c>
      <c r="AO173" t="str">
        <f>HYPERLINK("https://transparencia.cidesi.mx/comprobantes/2021/CQ2100596 /C3A12559_OGP110805JN3_XML.xml")</f>
        <v>https://transparencia.cidesi.mx/comprobantes/2021/CQ2100596 /C3A12559_OGP110805JN3_XML.xml</v>
      </c>
      <c r="AP173" t="s">
        <v>495</v>
      </c>
      <c r="AQ173" t="s">
        <v>464</v>
      </c>
      <c r="AR173" t="s">
        <v>496</v>
      </c>
      <c r="AS173" t="s">
        <v>497</v>
      </c>
      <c r="AT173" s="1">
        <v>44412</v>
      </c>
      <c r="AU173" s="1">
        <v>44420</v>
      </c>
    </row>
    <row r="174" spans="1:47" x14ac:dyDescent="0.3">
      <c r="A174" t="s">
        <v>455</v>
      </c>
      <c r="B174" t="s">
        <v>48</v>
      </c>
      <c r="C174" t="s">
        <v>49</v>
      </c>
      <c r="D174">
        <v>459</v>
      </c>
      <c r="E174" t="s">
        <v>456</v>
      </c>
      <c r="F174" t="s">
        <v>457</v>
      </c>
      <c r="G174" t="s">
        <v>351</v>
      </c>
      <c r="H174" t="s">
        <v>491</v>
      </c>
      <c r="I174" t="s">
        <v>54</v>
      </c>
      <c r="J174" t="s">
        <v>492</v>
      </c>
      <c r="K174" t="s">
        <v>56</v>
      </c>
      <c r="L174">
        <v>101019</v>
      </c>
      <c r="M174" t="s">
        <v>493</v>
      </c>
      <c r="N174">
        <v>0</v>
      </c>
      <c r="O174" t="s">
        <v>58</v>
      </c>
      <c r="P174" t="s">
        <v>59</v>
      </c>
      <c r="Q174" t="s">
        <v>460</v>
      </c>
      <c r="R174" t="s">
        <v>492</v>
      </c>
      <c r="S174" s="1">
        <v>44405</v>
      </c>
      <c r="T174" s="1">
        <v>44407</v>
      </c>
      <c r="U174">
        <v>37501</v>
      </c>
      <c r="V174" t="s">
        <v>104</v>
      </c>
      <c r="W174" t="s">
        <v>494</v>
      </c>
      <c r="X174" s="1">
        <v>44411</v>
      </c>
      <c r="Y174" t="s">
        <v>63</v>
      </c>
      <c r="Z174">
        <v>2142</v>
      </c>
      <c r="AA174">
        <v>16</v>
      </c>
      <c r="AB174">
        <v>336</v>
      </c>
      <c r="AC174">
        <v>0</v>
      </c>
      <c r="AD174">
        <v>2478</v>
      </c>
      <c r="AE174">
        <v>4474.3100000000004</v>
      </c>
      <c r="AF174">
        <v>5172</v>
      </c>
      <c r="AG174" t="s">
        <v>468</v>
      </c>
      <c r="AH174" t="s">
        <v>65</v>
      </c>
      <c r="AI174" t="s">
        <v>65</v>
      </c>
      <c r="AJ174" t="s">
        <v>66</v>
      </c>
      <c r="AK174" t="s">
        <v>66</v>
      </c>
      <c r="AL174" t="s">
        <v>66</v>
      </c>
      <c r="AM174" s="2" t="str">
        <f>HYPERLINK("https://transparencia.cidesi.mx/comprobantes/2021/CQ2100596 /C4A33-31126_CCD130408S12_PDF.pdf")</f>
        <v>https://transparencia.cidesi.mx/comprobantes/2021/CQ2100596 /C4A33-31126_CCD130408S12_PDF.pdf</v>
      </c>
      <c r="AN174" t="str">
        <f>HYPERLINK("https://transparencia.cidesi.mx/comprobantes/2021/CQ2100596 /C4A33-31126_CCD130408S12_PDF.pdf")</f>
        <v>https://transparencia.cidesi.mx/comprobantes/2021/CQ2100596 /C4A33-31126_CCD130408S12_PDF.pdf</v>
      </c>
      <c r="AO174" t="str">
        <f>HYPERLINK("https://transparencia.cidesi.mx/comprobantes/2021/CQ2100596 /C4A33-31126_CCD130408S12_XML.xml")</f>
        <v>https://transparencia.cidesi.mx/comprobantes/2021/CQ2100596 /C4A33-31126_CCD130408S12_XML.xml</v>
      </c>
      <c r="AP174" t="s">
        <v>495</v>
      </c>
      <c r="AQ174" t="s">
        <v>464</v>
      </c>
      <c r="AR174" t="s">
        <v>496</v>
      </c>
      <c r="AS174" t="s">
        <v>497</v>
      </c>
      <c r="AT174" s="1">
        <v>44412</v>
      </c>
      <c r="AU174" s="1">
        <v>44420</v>
      </c>
    </row>
    <row r="175" spans="1:47" x14ac:dyDescent="0.3">
      <c r="A175" t="s">
        <v>455</v>
      </c>
      <c r="B175" t="s">
        <v>48</v>
      </c>
      <c r="C175" t="s">
        <v>49</v>
      </c>
      <c r="D175">
        <v>459</v>
      </c>
      <c r="E175" t="s">
        <v>456</v>
      </c>
      <c r="F175" t="s">
        <v>457</v>
      </c>
      <c r="G175" t="s">
        <v>351</v>
      </c>
      <c r="H175" t="s">
        <v>491</v>
      </c>
      <c r="I175" t="s">
        <v>54</v>
      </c>
      <c r="J175" t="s">
        <v>492</v>
      </c>
      <c r="K175" t="s">
        <v>56</v>
      </c>
      <c r="L175">
        <v>101019</v>
      </c>
      <c r="M175" t="s">
        <v>493</v>
      </c>
      <c r="N175">
        <v>0</v>
      </c>
      <c r="O175" t="s">
        <v>58</v>
      </c>
      <c r="P175" t="s">
        <v>59</v>
      </c>
      <c r="Q175" t="s">
        <v>460</v>
      </c>
      <c r="R175" t="s">
        <v>492</v>
      </c>
      <c r="S175" s="1">
        <v>44405</v>
      </c>
      <c r="T175" s="1">
        <v>44407</v>
      </c>
      <c r="U175">
        <v>37501</v>
      </c>
      <c r="V175" t="s">
        <v>104</v>
      </c>
      <c r="W175" t="s">
        <v>494</v>
      </c>
      <c r="X175" s="1">
        <v>44411</v>
      </c>
      <c r="Y175" t="s">
        <v>63</v>
      </c>
      <c r="Z175">
        <v>1033.97</v>
      </c>
      <c r="AA175">
        <v>16</v>
      </c>
      <c r="AB175">
        <v>159.84</v>
      </c>
      <c r="AC175">
        <v>0</v>
      </c>
      <c r="AD175">
        <v>1193.81</v>
      </c>
      <c r="AE175">
        <v>4474.3100000000004</v>
      </c>
      <c r="AF175">
        <v>5172</v>
      </c>
      <c r="AG175" t="s">
        <v>468</v>
      </c>
      <c r="AH175" t="s">
        <v>66</v>
      </c>
      <c r="AI175" t="s">
        <v>65</v>
      </c>
      <c r="AJ175" t="s">
        <v>66</v>
      </c>
      <c r="AK175" t="s">
        <v>66</v>
      </c>
      <c r="AL175" t="s">
        <v>66</v>
      </c>
      <c r="AM175" s="2" t="str">
        <f>HYPERLINK("https://transparencia.cidesi.mx/comprobantes/2021/CQ2100596 /C5A2353_PTH910926179_PDF.pdf")</f>
        <v>https://transparencia.cidesi.mx/comprobantes/2021/CQ2100596 /C5A2353_PTH910926179_PDF.pdf</v>
      </c>
      <c r="AN175" t="str">
        <f>HYPERLINK("https://transparencia.cidesi.mx/comprobantes/2021/CQ2100596 /C5A2353_PTH910926179_PDF.pdf")</f>
        <v>https://transparencia.cidesi.mx/comprobantes/2021/CQ2100596 /C5A2353_PTH910926179_PDF.pdf</v>
      </c>
      <c r="AO175" t="str">
        <f>HYPERLINK("https://transparencia.cidesi.mx/comprobantes/2021/CQ2100596 /C5A2353_PTH910926179_XML.xml")</f>
        <v>https://transparencia.cidesi.mx/comprobantes/2021/CQ2100596 /C5A2353_PTH910926179_XML.xml</v>
      </c>
      <c r="AP175" t="s">
        <v>495</v>
      </c>
      <c r="AQ175" t="s">
        <v>464</v>
      </c>
      <c r="AR175" t="s">
        <v>496</v>
      </c>
      <c r="AS175" t="s">
        <v>497</v>
      </c>
      <c r="AT175" s="1">
        <v>44412</v>
      </c>
      <c r="AU175" s="1">
        <v>44420</v>
      </c>
    </row>
    <row r="176" spans="1:47" x14ac:dyDescent="0.3">
      <c r="A176" t="s">
        <v>455</v>
      </c>
      <c r="B176" t="s">
        <v>48</v>
      </c>
      <c r="C176" t="s">
        <v>49</v>
      </c>
      <c r="D176">
        <v>459</v>
      </c>
      <c r="E176" t="s">
        <v>456</v>
      </c>
      <c r="F176" t="s">
        <v>457</v>
      </c>
      <c r="G176" t="s">
        <v>351</v>
      </c>
      <c r="H176" t="s">
        <v>498</v>
      </c>
      <c r="I176" t="s">
        <v>54</v>
      </c>
      <c r="J176" t="s">
        <v>492</v>
      </c>
      <c r="K176" t="s">
        <v>56</v>
      </c>
      <c r="L176">
        <v>0</v>
      </c>
      <c r="M176" t="s">
        <v>73</v>
      </c>
      <c r="N176">
        <v>0</v>
      </c>
      <c r="O176" t="s">
        <v>58</v>
      </c>
      <c r="P176" t="s">
        <v>59</v>
      </c>
      <c r="Q176" t="s">
        <v>189</v>
      </c>
      <c r="R176" t="s">
        <v>492</v>
      </c>
      <c r="S176" s="1">
        <v>44405</v>
      </c>
      <c r="T176" s="1">
        <v>44405</v>
      </c>
      <c r="U176">
        <v>37104</v>
      </c>
      <c r="V176" t="s">
        <v>471</v>
      </c>
      <c r="W176" t="s">
        <v>499</v>
      </c>
      <c r="X176" s="1">
        <v>44399</v>
      </c>
      <c r="Y176" t="s">
        <v>63</v>
      </c>
      <c r="Z176">
        <v>7207.52</v>
      </c>
      <c r="AA176">
        <v>16</v>
      </c>
      <c r="AB176">
        <v>1038.48</v>
      </c>
      <c r="AC176">
        <v>0</v>
      </c>
      <c r="AD176">
        <v>8246</v>
      </c>
      <c r="AE176">
        <v>8246</v>
      </c>
      <c r="AF176">
        <v>8500</v>
      </c>
      <c r="AG176" t="s">
        <v>473</v>
      </c>
      <c r="AH176" t="s">
        <v>66</v>
      </c>
      <c r="AI176" t="s">
        <v>65</v>
      </c>
      <c r="AJ176" t="s">
        <v>66</v>
      </c>
      <c r="AK176" t="s">
        <v>66</v>
      </c>
      <c r="AL176" t="s">
        <v>66</v>
      </c>
      <c r="AM176" s="2" t="str">
        <f>HYPERLINK("https://transparencia.cidesi.mx/comprobantes/2021/CAQ210020 /C1F1392123219833_AME880912189_PDF.pdf")</f>
        <v>https://transparencia.cidesi.mx/comprobantes/2021/CAQ210020 /C1F1392123219833_AME880912189_PDF.pdf</v>
      </c>
      <c r="AN176" t="str">
        <f>HYPERLINK("https://transparencia.cidesi.mx/comprobantes/2021/CAQ210020 /C1F1392123219833_AME880912189_PDF.pdf")</f>
        <v>https://transparencia.cidesi.mx/comprobantes/2021/CAQ210020 /C1F1392123219833_AME880912189_PDF.pdf</v>
      </c>
      <c r="AO176" t="str">
        <f>HYPERLINK("https://transparencia.cidesi.mx/comprobantes/2021/CAQ210020 /C1F1392123219833_AME880912189_XML.xml")</f>
        <v>https://transparencia.cidesi.mx/comprobantes/2021/CAQ210020 /C1F1392123219833_AME880912189_XML.xml</v>
      </c>
      <c r="AP176" t="s">
        <v>500</v>
      </c>
      <c r="AQ176" t="s">
        <v>501</v>
      </c>
      <c r="AR176" t="s">
        <v>502</v>
      </c>
      <c r="AS176" t="s">
        <v>477</v>
      </c>
      <c r="AT176" s="1">
        <v>44400</v>
      </c>
      <c r="AU176" s="1">
        <v>44403</v>
      </c>
    </row>
    <row r="177" spans="1:47" x14ac:dyDescent="0.3">
      <c r="A177" t="s">
        <v>455</v>
      </c>
      <c r="B177" t="s">
        <v>48</v>
      </c>
      <c r="C177" t="s">
        <v>49</v>
      </c>
      <c r="D177">
        <v>459</v>
      </c>
      <c r="E177" t="s">
        <v>456</v>
      </c>
      <c r="F177" t="s">
        <v>457</v>
      </c>
      <c r="G177" t="s">
        <v>351</v>
      </c>
      <c r="H177" t="s">
        <v>503</v>
      </c>
      <c r="I177" t="s">
        <v>54</v>
      </c>
      <c r="J177" t="s">
        <v>504</v>
      </c>
      <c r="K177" t="s">
        <v>56</v>
      </c>
      <c r="L177">
        <v>0</v>
      </c>
      <c r="M177" t="s">
        <v>73</v>
      </c>
      <c r="N177">
        <v>0</v>
      </c>
      <c r="O177" t="s">
        <v>58</v>
      </c>
      <c r="P177" t="s">
        <v>59</v>
      </c>
      <c r="Q177" t="s">
        <v>505</v>
      </c>
      <c r="R177" t="s">
        <v>504</v>
      </c>
      <c r="S177" s="1">
        <v>44424</v>
      </c>
      <c r="T177" s="1">
        <v>44428</v>
      </c>
      <c r="U177">
        <v>37501</v>
      </c>
      <c r="V177" t="s">
        <v>61</v>
      </c>
      <c r="W177" t="s">
        <v>506</v>
      </c>
      <c r="X177" s="1">
        <v>44432</v>
      </c>
      <c r="Y177" t="s">
        <v>100</v>
      </c>
      <c r="Z177">
        <v>306.89999999999998</v>
      </c>
      <c r="AA177">
        <v>16</v>
      </c>
      <c r="AB177">
        <v>49.1</v>
      </c>
      <c r="AC177">
        <v>0</v>
      </c>
      <c r="AD177">
        <v>356</v>
      </c>
      <c r="AE177">
        <v>7574.33</v>
      </c>
      <c r="AF177">
        <v>8551</v>
      </c>
      <c r="AG177" t="s">
        <v>462</v>
      </c>
      <c r="AH177" t="s">
        <v>65</v>
      </c>
      <c r="AI177" t="s">
        <v>65</v>
      </c>
      <c r="AJ177" t="s">
        <v>66</v>
      </c>
      <c r="AK177" t="s">
        <v>66</v>
      </c>
      <c r="AL177" t="s">
        <v>66</v>
      </c>
      <c r="AM177" s="2" t="str">
        <f>HYPERLINK("https://transparencia.cidesi.mx/comprobantes/2021/CQ2100682 /C117242_OPP010927SA5_PDF.pdf")</f>
        <v>https://transparencia.cidesi.mx/comprobantes/2021/CQ2100682 /C117242_OPP010927SA5_PDF.pdf</v>
      </c>
      <c r="AN177" t="str">
        <f>HYPERLINK("https://transparencia.cidesi.mx/comprobantes/2021/CQ2100682 /C117242_OPP010927SA5_PDF.pdf")</f>
        <v>https://transparencia.cidesi.mx/comprobantes/2021/CQ2100682 /C117242_OPP010927SA5_PDF.pdf</v>
      </c>
      <c r="AO177" t="str">
        <f>HYPERLINK("https://transparencia.cidesi.mx/comprobantes/2021/CQ2100682 /C117242_OPP010927SA5_XML.xml")</f>
        <v>https://transparencia.cidesi.mx/comprobantes/2021/CQ2100682 /C117242_OPP010927SA5_XML.xml</v>
      </c>
      <c r="AP177" t="s">
        <v>507</v>
      </c>
      <c r="AQ177" t="s">
        <v>464</v>
      </c>
      <c r="AR177" t="s">
        <v>508</v>
      </c>
      <c r="AS177" t="s">
        <v>466</v>
      </c>
      <c r="AT177" s="1">
        <v>44453</v>
      </c>
      <c r="AU177" t="s">
        <v>73</v>
      </c>
    </row>
    <row r="178" spans="1:47" x14ac:dyDescent="0.3">
      <c r="A178" t="s">
        <v>455</v>
      </c>
      <c r="B178" t="s">
        <v>48</v>
      </c>
      <c r="C178" t="s">
        <v>49</v>
      </c>
      <c r="D178">
        <v>459</v>
      </c>
      <c r="E178" t="s">
        <v>456</v>
      </c>
      <c r="F178" t="s">
        <v>457</v>
      </c>
      <c r="G178" t="s">
        <v>351</v>
      </c>
      <c r="H178" t="s">
        <v>503</v>
      </c>
      <c r="I178" t="s">
        <v>54</v>
      </c>
      <c r="J178" t="s">
        <v>504</v>
      </c>
      <c r="K178" t="s">
        <v>56</v>
      </c>
      <c r="L178">
        <v>0</v>
      </c>
      <c r="M178" t="s">
        <v>73</v>
      </c>
      <c r="N178">
        <v>0</v>
      </c>
      <c r="O178" t="s">
        <v>58</v>
      </c>
      <c r="P178" t="s">
        <v>59</v>
      </c>
      <c r="Q178" t="s">
        <v>505</v>
      </c>
      <c r="R178" t="s">
        <v>504</v>
      </c>
      <c r="S178" s="1">
        <v>44424</v>
      </c>
      <c r="T178" s="1">
        <v>44428</v>
      </c>
      <c r="U178">
        <v>37501</v>
      </c>
      <c r="V178" t="s">
        <v>61</v>
      </c>
      <c r="W178" t="s">
        <v>506</v>
      </c>
      <c r="X178" s="1">
        <v>44432</v>
      </c>
      <c r="Y178" t="s">
        <v>100</v>
      </c>
      <c r="Z178">
        <v>77.58</v>
      </c>
      <c r="AA178">
        <v>16</v>
      </c>
      <c r="AB178">
        <v>12.42</v>
      </c>
      <c r="AC178">
        <v>0</v>
      </c>
      <c r="AD178">
        <v>90</v>
      </c>
      <c r="AE178">
        <v>7574.33</v>
      </c>
      <c r="AF178">
        <v>8551</v>
      </c>
      <c r="AG178" t="s">
        <v>462</v>
      </c>
      <c r="AH178" t="s">
        <v>65</v>
      </c>
      <c r="AI178" t="s">
        <v>65</v>
      </c>
      <c r="AJ178" t="s">
        <v>66</v>
      </c>
      <c r="AK178" t="s">
        <v>66</v>
      </c>
      <c r="AL178" t="s">
        <v>66</v>
      </c>
      <c r="AM178" s="2" t="str">
        <f>HYPERLINK("https://transparencia.cidesi.mx/comprobantes/2021/CQ2100682 /C28375_CSU070301MK3_PDF.pdf")</f>
        <v>https://transparencia.cidesi.mx/comprobantes/2021/CQ2100682 /C28375_CSU070301MK3_PDF.pdf</v>
      </c>
      <c r="AN178" t="str">
        <f>HYPERLINK("https://transparencia.cidesi.mx/comprobantes/2021/CQ2100682 /C28375_CSU070301MK3_PDF.pdf")</f>
        <v>https://transparencia.cidesi.mx/comprobantes/2021/CQ2100682 /C28375_CSU070301MK3_PDF.pdf</v>
      </c>
      <c r="AO178" t="str">
        <f>HYPERLINK("https://transparencia.cidesi.mx/comprobantes/2021/CQ2100682 /C28375_CSU070301MK3_XML.xml")</f>
        <v>https://transparencia.cidesi.mx/comprobantes/2021/CQ2100682 /C28375_CSU070301MK3_XML.xml</v>
      </c>
      <c r="AP178" t="s">
        <v>507</v>
      </c>
      <c r="AQ178" t="s">
        <v>464</v>
      </c>
      <c r="AR178" t="s">
        <v>508</v>
      </c>
      <c r="AS178" t="s">
        <v>466</v>
      </c>
      <c r="AT178" s="1">
        <v>44453</v>
      </c>
      <c r="AU178" t="s">
        <v>73</v>
      </c>
    </row>
    <row r="179" spans="1:47" x14ac:dyDescent="0.3">
      <c r="A179" t="s">
        <v>455</v>
      </c>
      <c r="B179" t="s">
        <v>48</v>
      </c>
      <c r="C179" t="s">
        <v>49</v>
      </c>
      <c r="D179">
        <v>459</v>
      </c>
      <c r="E179" t="s">
        <v>456</v>
      </c>
      <c r="F179" t="s">
        <v>457</v>
      </c>
      <c r="G179" t="s">
        <v>351</v>
      </c>
      <c r="H179" t="s">
        <v>503</v>
      </c>
      <c r="I179" t="s">
        <v>54</v>
      </c>
      <c r="J179" t="s">
        <v>504</v>
      </c>
      <c r="K179" t="s">
        <v>56</v>
      </c>
      <c r="L179">
        <v>0</v>
      </c>
      <c r="M179" t="s">
        <v>73</v>
      </c>
      <c r="N179">
        <v>0</v>
      </c>
      <c r="O179" t="s">
        <v>58</v>
      </c>
      <c r="P179" t="s">
        <v>59</v>
      </c>
      <c r="Q179" t="s">
        <v>505</v>
      </c>
      <c r="R179" t="s">
        <v>504</v>
      </c>
      <c r="S179" s="1">
        <v>44424</v>
      </c>
      <c r="T179" s="1">
        <v>44428</v>
      </c>
      <c r="U179">
        <v>37501</v>
      </c>
      <c r="V179" t="s">
        <v>61</v>
      </c>
      <c r="W179" t="s">
        <v>506</v>
      </c>
      <c r="X179" s="1">
        <v>44432</v>
      </c>
      <c r="Y179" t="s">
        <v>100</v>
      </c>
      <c r="Z179">
        <v>384.65</v>
      </c>
      <c r="AA179">
        <v>16</v>
      </c>
      <c r="AB179">
        <v>53.52</v>
      </c>
      <c r="AC179">
        <v>0</v>
      </c>
      <c r="AD179">
        <v>438.17</v>
      </c>
      <c r="AE179">
        <v>7574.33</v>
      </c>
      <c r="AF179">
        <v>8551</v>
      </c>
      <c r="AG179" t="s">
        <v>462</v>
      </c>
      <c r="AH179" t="s">
        <v>65</v>
      </c>
      <c r="AI179" t="s">
        <v>65</v>
      </c>
      <c r="AJ179" t="s">
        <v>66</v>
      </c>
      <c r="AK179" t="s">
        <v>66</v>
      </c>
      <c r="AL179" t="s">
        <v>66</v>
      </c>
      <c r="AM179" s="2" t="str">
        <f>HYPERLINK("https://transparencia.cidesi.mx/comprobantes/2021/CQ2100682 /C3F33-5787_IRO760325HS6_PDF.pdf")</f>
        <v>https://transparencia.cidesi.mx/comprobantes/2021/CQ2100682 /C3F33-5787_IRO760325HS6_PDF.pdf</v>
      </c>
      <c r="AN179" t="str">
        <f>HYPERLINK("https://transparencia.cidesi.mx/comprobantes/2021/CQ2100682 /C3F33-5787_IRO760325HS6_PDF.pdf")</f>
        <v>https://transparencia.cidesi.mx/comprobantes/2021/CQ2100682 /C3F33-5787_IRO760325HS6_PDF.pdf</v>
      </c>
      <c r="AO179" t="str">
        <f>HYPERLINK("https://transparencia.cidesi.mx/comprobantes/2021/CQ2100682 /C3F33-5787_IRO760325HS6_XML.xml")</f>
        <v>https://transparencia.cidesi.mx/comprobantes/2021/CQ2100682 /C3F33-5787_IRO760325HS6_XML.xml</v>
      </c>
      <c r="AP179" t="s">
        <v>507</v>
      </c>
      <c r="AQ179" t="s">
        <v>464</v>
      </c>
      <c r="AR179" t="s">
        <v>508</v>
      </c>
      <c r="AS179" t="s">
        <v>466</v>
      </c>
      <c r="AT179" s="1">
        <v>44453</v>
      </c>
      <c r="AU179" t="s">
        <v>73</v>
      </c>
    </row>
    <row r="180" spans="1:47" x14ac:dyDescent="0.3">
      <c r="A180" t="s">
        <v>455</v>
      </c>
      <c r="B180" t="s">
        <v>48</v>
      </c>
      <c r="C180" t="s">
        <v>49</v>
      </c>
      <c r="D180">
        <v>459</v>
      </c>
      <c r="E180" t="s">
        <v>456</v>
      </c>
      <c r="F180" t="s">
        <v>457</v>
      </c>
      <c r="G180" t="s">
        <v>351</v>
      </c>
      <c r="H180" t="s">
        <v>503</v>
      </c>
      <c r="I180" t="s">
        <v>54</v>
      </c>
      <c r="J180" t="s">
        <v>504</v>
      </c>
      <c r="K180" t="s">
        <v>56</v>
      </c>
      <c r="L180">
        <v>0</v>
      </c>
      <c r="M180" t="s">
        <v>73</v>
      </c>
      <c r="N180">
        <v>0</v>
      </c>
      <c r="O180" t="s">
        <v>58</v>
      </c>
      <c r="P180" t="s">
        <v>59</v>
      </c>
      <c r="Q180" t="s">
        <v>505</v>
      </c>
      <c r="R180" t="s">
        <v>504</v>
      </c>
      <c r="S180" s="1">
        <v>44424</v>
      </c>
      <c r="T180" s="1">
        <v>44428</v>
      </c>
      <c r="U180">
        <v>37501</v>
      </c>
      <c r="V180" t="s">
        <v>61</v>
      </c>
      <c r="W180" t="s">
        <v>506</v>
      </c>
      <c r="X180" s="1">
        <v>44432</v>
      </c>
      <c r="Y180" t="s">
        <v>100</v>
      </c>
      <c r="Z180">
        <v>384.65</v>
      </c>
      <c r="AA180">
        <v>16</v>
      </c>
      <c r="AB180">
        <v>53.52</v>
      </c>
      <c r="AC180">
        <v>0</v>
      </c>
      <c r="AD180">
        <v>438.17</v>
      </c>
      <c r="AE180">
        <v>7574.33</v>
      </c>
      <c r="AF180">
        <v>8551</v>
      </c>
      <c r="AG180" t="s">
        <v>462</v>
      </c>
      <c r="AH180" t="s">
        <v>65</v>
      </c>
      <c r="AI180" t="s">
        <v>65</v>
      </c>
      <c r="AJ180" t="s">
        <v>66</v>
      </c>
      <c r="AK180" t="s">
        <v>66</v>
      </c>
      <c r="AL180" t="s">
        <v>66</v>
      </c>
      <c r="AM180" s="2" t="str">
        <f>HYPERLINK("https://transparencia.cidesi.mx/comprobantes/2021/CQ2100682 /C4F33-5789_IRO760325HS6_PDF.pdf")</f>
        <v>https://transparencia.cidesi.mx/comprobantes/2021/CQ2100682 /C4F33-5789_IRO760325HS6_PDF.pdf</v>
      </c>
      <c r="AN180" t="str">
        <f>HYPERLINK("https://transparencia.cidesi.mx/comprobantes/2021/CQ2100682 /C4F33-5789_IRO760325HS6_PDF.pdf")</f>
        <v>https://transparencia.cidesi.mx/comprobantes/2021/CQ2100682 /C4F33-5789_IRO760325HS6_PDF.pdf</v>
      </c>
      <c r="AO180" t="str">
        <f>HYPERLINK("https://transparencia.cidesi.mx/comprobantes/2021/CQ2100682 /C4F33_5789_IRO760325HS6_XML.xml")</f>
        <v>https://transparencia.cidesi.mx/comprobantes/2021/CQ2100682 /C4F33_5789_IRO760325HS6_XML.xml</v>
      </c>
      <c r="AP180" t="s">
        <v>507</v>
      </c>
      <c r="AQ180" t="s">
        <v>464</v>
      </c>
      <c r="AR180" t="s">
        <v>508</v>
      </c>
      <c r="AS180" t="s">
        <v>466</v>
      </c>
      <c r="AT180" s="1">
        <v>44453</v>
      </c>
      <c r="AU180" t="s">
        <v>73</v>
      </c>
    </row>
    <row r="181" spans="1:47" x14ac:dyDescent="0.3">
      <c r="A181" t="s">
        <v>455</v>
      </c>
      <c r="B181" t="s">
        <v>48</v>
      </c>
      <c r="C181" t="s">
        <v>49</v>
      </c>
      <c r="D181">
        <v>459</v>
      </c>
      <c r="E181" t="s">
        <v>456</v>
      </c>
      <c r="F181" t="s">
        <v>457</v>
      </c>
      <c r="G181" t="s">
        <v>351</v>
      </c>
      <c r="H181" t="s">
        <v>503</v>
      </c>
      <c r="I181" t="s">
        <v>54</v>
      </c>
      <c r="J181" t="s">
        <v>504</v>
      </c>
      <c r="K181" t="s">
        <v>56</v>
      </c>
      <c r="L181">
        <v>0</v>
      </c>
      <c r="M181" t="s">
        <v>73</v>
      </c>
      <c r="N181">
        <v>0</v>
      </c>
      <c r="O181" t="s">
        <v>58</v>
      </c>
      <c r="P181" t="s">
        <v>59</v>
      </c>
      <c r="Q181" t="s">
        <v>505</v>
      </c>
      <c r="R181" t="s">
        <v>504</v>
      </c>
      <c r="S181" s="1">
        <v>44424</v>
      </c>
      <c r="T181" s="1">
        <v>44428</v>
      </c>
      <c r="U181">
        <v>37501</v>
      </c>
      <c r="V181" t="s">
        <v>61</v>
      </c>
      <c r="W181" t="s">
        <v>506</v>
      </c>
      <c r="X181" s="1">
        <v>44432</v>
      </c>
      <c r="Y181" t="s">
        <v>100</v>
      </c>
      <c r="Z181">
        <v>34.5</v>
      </c>
      <c r="AA181">
        <v>0</v>
      </c>
      <c r="AB181">
        <v>0</v>
      </c>
      <c r="AC181">
        <v>0</v>
      </c>
      <c r="AD181">
        <v>34.5</v>
      </c>
      <c r="AE181">
        <v>7574.33</v>
      </c>
      <c r="AF181">
        <v>8551</v>
      </c>
      <c r="AG181" t="s">
        <v>462</v>
      </c>
      <c r="AH181" t="s">
        <v>65</v>
      </c>
      <c r="AI181" t="s">
        <v>65</v>
      </c>
      <c r="AJ181" t="s">
        <v>66</v>
      </c>
      <c r="AK181" t="s">
        <v>66</v>
      </c>
      <c r="AL181" t="s">
        <v>66</v>
      </c>
      <c r="AM181" s="2" t="str">
        <f>HYPERLINK("https://transparencia.cidesi.mx/comprobantes/2021/CQ2100682 /C5341696447_CCO8605231N4_PDF.pdf")</f>
        <v>https://transparencia.cidesi.mx/comprobantes/2021/CQ2100682 /C5341696447_CCO8605231N4_PDF.pdf</v>
      </c>
      <c r="AN181" t="str">
        <f>HYPERLINK("https://transparencia.cidesi.mx/comprobantes/2021/CQ2100682 /C5341696447_CCO8605231N4_PDF.pdf")</f>
        <v>https://transparencia.cidesi.mx/comprobantes/2021/CQ2100682 /C5341696447_CCO8605231N4_PDF.pdf</v>
      </c>
      <c r="AO181" t="str">
        <f>HYPERLINK("https://transparencia.cidesi.mx/comprobantes/2021/CQ2100682 /C5341696447_CCO8605231N4_XML.xml")</f>
        <v>https://transparencia.cidesi.mx/comprobantes/2021/CQ2100682 /C5341696447_CCO8605231N4_XML.xml</v>
      </c>
      <c r="AP181" t="s">
        <v>507</v>
      </c>
      <c r="AQ181" t="s">
        <v>464</v>
      </c>
      <c r="AR181" t="s">
        <v>508</v>
      </c>
      <c r="AS181" t="s">
        <v>466</v>
      </c>
      <c r="AT181" s="1">
        <v>44453</v>
      </c>
      <c r="AU181" t="s">
        <v>73</v>
      </c>
    </row>
    <row r="182" spans="1:47" x14ac:dyDescent="0.3">
      <c r="A182" t="s">
        <v>455</v>
      </c>
      <c r="B182" t="s">
        <v>48</v>
      </c>
      <c r="C182" t="s">
        <v>49</v>
      </c>
      <c r="D182">
        <v>459</v>
      </c>
      <c r="E182" t="s">
        <v>456</v>
      </c>
      <c r="F182" t="s">
        <v>457</v>
      </c>
      <c r="G182" t="s">
        <v>351</v>
      </c>
      <c r="H182" t="s">
        <v>503</v>
      </c>
      <c r="I182" t="s">
        <v>54</v>
      </c>
      <c r="J182" t="s">
        <v>504</v>
      </c>
      <c r="K182" t="s">
        <v>56</v>
      </c>
      <c r="L182">
        <v>0</v>
      </c>
      <c r="M182" t="s">
        <v>73</v>
      </c>
      <c r="N182">
        <v>0</v>
      </c>
      <c r="O182" t="s">
        <v>58</v>
      </c>
      <c r="P182" t="s">
        <v>59</v>
      </c>
      <c r="Q182" t="s">
        <v>505</v>
      </c>
      <c r="R182" t="s">
        <v>504</v>
      </c>
      <c r="S182" s="1">
        <v>44424</v>
      </c>
      <c r="T182" s="1">
        <v>44428</v>
      </c>
      <c r="U182">
        <v>37501</v>
      </c>
      <c r="V182" t="s">
        <v>61</v>
      </c>
      <c r="W182" t="s">
        <v>506</v>
      </c>
      <c r="X182" s="1">
        <v>44432</v>
      </c>
      <c r="Y182" t="s">
        <v>100</v>
      </c>
      <c r="Z182">
        <v>80.95</v>
      </c>
      <c r="AA182">
        <v>16</v>
      </c>
      <c r="AB182">
        <v>6.55</v>
      </c>
      <c r="AC182">
        <v>0</v>
      </c>
      <c r="AD182">
        <v>87.5</v>
      </c>
      <c r="AE182">
        <v>7574.33</v>
      </c>
      <c r="AF182">
        <v>8551</v>
      </c>
      <c r="AG182" t="s">
        <v>462</v>
      </c>
      <c r="AH182" t="s">
        <v>65</v>
      </c>
      <c r="AI182" t="s">
        <v>65</v>
      </c>
      <c r="AJ182" t="s">
        <v>66</v>
      </c>
      <c r="AK182" t="s">
        <v>66</v>
      </c>
      <c r="AL182" t="s">
        <v>66</v>
      </c>
      <c r="AM182" s="2" t="str">
        <f>HYPERLINK("https://transparencia.cidesi.mx/comprobantes/2021/CQ2100682 /C6341697427_CCO8605231N4_PDF.pdf")</f>
        <v>https://transparencia.cidesi.mx/comprobantes/2021/CQ2100682 /C6341697427_CCO8605231N4_PDF.pdf</v>
      </c>
      <c r="AN182" t="str">
        <f>HYPERLINK("https://transparencia.cidesi.mx/comprobantes/2021/CQ2100682 /C6341697427_CCO8605231N4_PDF.pdf")</f>
        <v>https://transparencia.cidesi.mx/comprobantes/2021/CQ2100682 /C6341697427_CCO8605231N4_PDF.pdf</v>
      </c>
      <c r="AO182" t="str">
        <f>HYPERLINK("https://transparencia.cidesi.mx/comprobantes/2021/CQ2100682 /C6341697427_CCO8605231N4_XML.xml")</f>
        <v>https://transparencia.cidesi.mx/comprobantes/2021/CQ2100682 /C6341697427_CCO8605231N4_XML.xml</v>
      </c>
      <c r="AP182" t="s">
        <v>507</v>
      </c>
      <c r="AQ182" t="s">
        <v>464</v>
      </c>
      <c r="AR182" t="s">
        <v>508</v>
      </c>
      <c r="AS182" t="s">
        <v>466</v>
      </c>
      <c r="AT182" s="1">
        <v>44453</v>
      </c>
      <c r="AU182" t="s">
        <v>73</v>
      </c>
    </row>
    <row r="183" spans="1:47" x14ac:dyDescent="0.3">
      <c r="A183" t="s">
        <v>455</v>
      </c>
      <c r="B183" t="s">
        <v>48</v>
      </c>
      <c r="C183" t="s">
        <v>49</v>
      </c>
      <c r="D183">
        <v>459</v>
      </c>
      <c r="E183" t="s">
        <v>456</v>
      </c>
      <c r="F183" t="s">
        <v>457</v>
      </c>
      <c r="G183" t="s">
        <v>351</v>
      </c>
      <c r="H183" t="s">
        <v>503</v>
      </c>
      <c r="I183" t="s">
        <v>54</v>
      </c>
      <c r="J183" t="s">
        <v>504</v>
      </c>
      <c r="K183" t="s">
        <v>56</v>
      </c>
      <c r="L183">
        <v>0</v>
      </c>
      <c r="M183" t="s">
        <v>73</v>
      </c>
      <c r="N183">
        <v>0</v>
      </c>
      <c r="O183" t="s">
        <v>58</v>
      </c>
      <c r="P183" t="s">
        <v>59</v>
      </c>
      <c r="Q183" t="s">
        <v>505</v>
      </c>
      <c r="R183" t="s">
        <v>504</v>
      </c>
      <c r="S183" s="1">
        <v>44424</v>
      </c>
      <c r="T183" s="1">
        <v>44428</v>
      </c>
      <c r="U183">
        <v>37501</v>
      </c>
      <c r="V183" t="s">
        <v>61</v>
      </c>
      <c r="W183" t="s">
        <v>506</v>
      </c>
      <c r="X183" s="1">
        <v>44432</v>
      </c>
      <c r="Y183" t="s">
        <v>100</v>
      </c>
      <c r="Z183">
        <v>25</v>
      </c>
      <c r="AA183">
        <v>16</v>
      </c>
      <c r="AB183">
        <v>4</v>
      </c>
      <c r="AC183">
        <v>0</v>
      </c>
      <c r="AD183">
        <v>29</v>
      </c>
      <c r="AE183">
        <v>7574.33</v>
      </c>
      <c r="AF183">
        <v>8551</v>
      </c>
      <c r="AG183" t="s">
        <v>462</v>
      </c>
      <c r="AH183" t="s">
        <v>65</v>
      </c>
      <c r="AI183" t="s">
        <v>65</v>
      </c>
      <c r="AJ183" t="s">
        <v>66</v>
      </c>
      <c r="AK183" t="s">
        <v>66</v>
      </c>
      <c r="AL183" t="s">
        <v>66</v>
      </c>
      <c r="AM183" s="2" t="str">
        <f>HYPERLINK("https://transparencia.cidesi.mx/comprobantes/2021/CQ2100682 /C7KKFL59256_KKM0304101S1_PDF.pdf")</f>
        <v>https://transparencia.cidesi.mx/comprobantes/2021/CQ2100682 /C7KKFL59256_KKM0304101S1_PDF.pdf</v>
      </c>
      <c r="AN183" t="str">
        <f>HYPERLINK("https://transparencia.cidesi.mx/comprobantes/2021/CQ2100682 /C7KKFL59256_KKM0304101S1_PDF.pdf")</f>
        <v>https://transparencia.cidesi.mx/comprobantes/2021/CQ2100682 /C7KKFL59256_KKM0304101S1_PDF.pdf</v>
      </c>
      <c r="AO183" t="str">
        <f>HYPERLINK("https://transparencia.cidesi.mx/comprobantes/2021/CQ2100682 /C7KKFL59256_KKM0304101S1_XML.xml")</f>
        <v>https://transparencia.cidesi.mx/comprobantes/2021/CQ2100682 /C7KKFL59256_KKM0304101S1_XML.xml</v>
      </c>
      <c r="AP183" t="s">
        <v>507</v>
      </c>
      <c r="AQ183" t="s">
        <v>464</v>
      </c>
      <c r="AR183" t="s">
        <v>508</v>
      </c>
      <c r="AS183" t="s">
        <v>466</v>
      </c>
      <c r="AT183" s="1">
        <v>44453</v>
      </c>
      <c r="AU183" t="s">
        <v>73</v>
      </c>
    </row>
    <row r="184" spans="1:47" x14ac:dyDescent="0.3">
      <c r="A184" t="s">
        <v>455</v>
      </c>
      <c r="B184" t="s">
        <v>48</v>
      </c>
      <c r="C184" t="s">
        <v>49</v>
      </c>
      <c r="D184">
        <v>459</v>
      </c>
      <c r="E184" t="s">
        <v>456</v>
      </c>
      <c r="F184" t="s">
        <v>457</v>
      </c>
      <c r="G184" t="s">
        <v>351</v>
      </c>
      <c r="H184" t="s">
        <v>503</v>
      </c>
      <c r="I184" t="s">
        <v>54</v>
      </c>
      <c r="J184" t="s">
        <v>504</v>
      </c>
      <c r="K184" t="s">
        <v>56</v>
      </c>
      <c r="L184">
        <v>0</v>
      </c>
      <c r="M184" t="s">
        <v>73</v>
      </c>
      <c r="N184">
        <v>0</v>
      </c>
      <c r="O184" t="s">
        <v>58</v>
      </c>
      <c r="P184" t="s">
        <v>59</v>
      </c>
      <c r="Q184" t="s">
        <v>505</v>
      </c>
      <c r="R184" t="s">
        <v>504</v>
      </c>
      <c r="S184" s="1">
        <v>44424</v>
      </c>
      <c r="T184" s="1">
        <v>44428</v>
      </c>
      <c r="U184">
        <v>37501</v>
      </c>
      <c r="V184" t="s">
        <v>61</v>
      </c>
      <c r="W184" t="s">
        <v>506</v>
      </c>
      <c r="X184" s="1">
        <v>44432</v>
      </c>
      <c r="Y184" t="s">
        <v>100</v>
      </c>
      <c r="Z184">
        <v>51.72</v>
      </c>
      <c r="AA184">
        <v>16</v>
      </c>
      <c r="AB184">
        <v>8.2799999999999994</v>
      </c>
      <c r="AC184">
        <v>0</v>
      </c>
      <c r="AD184">
        <v>60</v>
      </c>
      <c r="AE184">
        <v>7574.33</v>
      </c>
      <c r="AF184">
        <v>8551</v>
      </c>
      <c r="AG184" t="s">
        <v>462</v>
      </c>
      <c r="AH184" t="s">
        <v>65</v>
      </c>
      <c r="AI184" t="s">
        <v>65</v>
      </c>
      <c r="AJ184" t="s">
        <v>66</v>
      </c>
      <c r="AK184" t="s">
        <v>66</v>
      </c>
      <c r="AL184" t="s">
        <v>66</v>
      </c>
      <c r="AM184" s="2" t="str">
        <f>HYPERLINK("https://transparencia.cidesi.mx/comprobantes/2021/CQ2100682 /C8C33-762_CCD130408S12_PDF.pdf")</f>
        <v>https://transparencia.cidesi.mx/comprobantes/2021/CQ2100682 /C8C33-762_CCD130408S12_PDF.pdf</v>
      </c>
      <c r="AN184" t="str">
        <f>HYPERLINK("https://transparencia.cidesi.mx/comprobantes/2021/CQ2100682 /C8C33-762_CCD130408S12_PDF.pdf")</f>
        <v>https://transparencia.cidesi.mx/comprobantes/2021/CQ2100682 /C8C33-762_CCD130408S12_PDF.pdf</v>
      </c>
      <c r="AO184" t="str">
        <f>HYPERLINK("https://transparencia.cidesi.mx/comprobantes/2021/CQ2100682 /C8C33-762_CCD130408S12_XML.xml")</f>
        <v>https://transparencia.cidesi.mx/comprobantes/2021/CQ2100682 /C8C33-762_CCD130408S12_XML.xml</v>
      </c>
      <c r="AP184" t="s">
        <v>507</v>
      </c>
      <c r="AQ184" t="s">
        <v>464</v>
      </c>
      <c r="AR184" t="s">
        <v>508</v>
      </c>
      <c r="AS184" t="s">
        <v>466</v>
      </c>
      <c r="AT184" s="1">
        <v>44453</v>
      </c>
      <c r="AU184" t="s">
        <v>73</v>
      </c>
    </row>
    <row r="185" spans="1:47" x14ac:dyDescent="0.3">
      <c r="A185" t="s">
        <v>455</v>
      </c>
      <c r="B185" t="s">
        <v>48</v>
      </c>
      <c r="C185" t="s">
        <v>49</v>
      </c>
      <c r="D185">
        <v>459</v>
      </c>
      <c r="E185" t="s">
        <v>456</v>
      </c>
      <c r="F185" t="s">
        <v>457</v>
      </c>
      <c r="G185" t="s">
        <v>351</v>
      </c>
      <c r="H185" t="s">
        <v>503</v>
      </c>
      <c r="I185" t="s">
        <v>54</v>
      </c>
      <c r="J185" t="s">
        <v>504</v>
      </c>
      <c r="K185" t="s">
        <v>56</v>
      </c>
      <c r="L185">
        <v>0</v>
      </c>
      <c r="M185" t="s">
        <v>73</v>
      </c>
      <c r="N185">
        <v>0</v>
      </c>
      <c r="O185" t="s">
        <v>58</v>
      </c>
      <c r="P185" t="s">
        <v>59</v>
      </c>
      <c r="Q185" t="s">
        <v>505</v>
      </c>
      <c r="R185" t="s">
        <v>504</v>
      </c>
      <c r="S185" s="1">
        <v>44424</v>
      </c>
      <c r="T185" s="1">
        <v>44428</v>
      </c>
      <c r="U185">
        <v>37501</v>
      </c>
      <c r="V185" t="s">
        <v>104</v>
      </c>
      <c r="W185" t="s">
        <v>506</v>
      </c>
      <c r="X185" s="1">
        <v>44432</v>
      </c>
      <c r="Y185" t="s">
        <v>100</v>
      </c>
      <c r="Z185">
        <v>2054.69</v>
      </c>
      <c r="AA185">
        <v>16</v>
      </c>
      <c r="AB185">
        <v>322.3</v>
      </c>
      <c r="AC185">
        <v>0</v>
      </c>
      <c r="AD185">
        <v>2376.9899999999998</v>
      </c>
      <c r="AE185">
        <v>7574.33</v>
      </c>
      <c r="AF185">
        <v>8551</v>
      </c>
      <c r="AG185" t="s">
        <v>468</v>
      </c>
      <c r="AH185" t="s">
        <v>65</v>
      </c>
      <c r="AI185" t="s">
        <v>65</v>
      </c>
      <c r="AJ185" t="s">
        <v>66</v>
      </c>
      <c r="AK185" t="s">
        <v>66</v>
      </c>
      <c r="AL185" t="s">
        <v>66</v>
      </c>
      <c r="AM185" s="2" t="str">
        <f>HYPERLINK("https://transparencia.cidesi.mx/comprobantes/2021/CQ2100682 /C9A33-31753_CCD130408S12_PDF.pdf")</f>
        <v>https://transparencia.cidesi.mx/comprobantes/2021/CQ2100682 /C9A33-31753_CCD130408S12_PDF.pdf</v>
      </c>
      <c r="AN185" t="str">
        <f>HYPERLINK("https://transparencia.cidesi.mx/comprobantes/2021/CQ2100682 /C9A33-31753_CCD130408S12_PDF.pdf")</f>
        <v>https://transparencia.cidesi.mx/comprobantes/2021/CQ2100682 /C9A33-31753_CCD130408S12_PDF.pdf</v>
      </c>
      <c r="AO185" t="str">
        <f>HYPERLINK("https://transparencia.cidesi.mx/comprobantes/2021/CQ2100682 /C9A33-31753_CCD130408S12_XML.xml")</f>
        <v>https://transparencia.cidesi.mx/comprobantes/2021/CQ2100682 /C9A33-31753_CCD130408S12_XML.xml</v>
      </c>
      <c r="AP185" t="s">
        <v>507</v>
      </c>
      <c r="AQ185" t="s">
        <v>464</v>
      </c>
      <c r="AR185" t="s">
        <v>508</v>
      </c>
      <c r="AS185" t="s">
        <v>466</v>
      </c>
      <c r="AT185" s="1">
        <v>44453</v>
      </c>
      <c r="AU185" t="s">
        <v>73</v>
      </c>
    </row>
    <row r="186" spans="1:47" x14ac:dyDescent="0.3">
      <c r="A186" t="s">
        <v>455</v>
      </c>
      <c r="B186" t="s">
        <v>48</v>
      </c>
      <c r="C186" t="s">
        <v>49</v>
      </c>
      <c r="D186">
        <v>459</v>
      </c>
      <c r="E186" t="s">
        <v>456</v>
      </c>
      <c r="F186" t="s">
        <v>457</v>
      </c>
      <c r="G186" t="s">
        <v>351</v>
      </c>
      <c r="H186" t="s">
        <v>503</v>
      </c>
      <c r="I186" t="s">
        <v>54</v>
      </c>
      <c r="J186" t="s">
        <v>504</v>
      </c>
      <c r="K186" t="s">
        <v>56</v>
      </c>
      <c r="L186">
        <v>0</v>
      </c>
      <c r="M186" t="s">
        <v>73</v>
      </c>
      <c r="N186">
        <v>0</v>
      </c>
      <c r="O186" t="s">
        <v>58</v>
      </c>
      <c r="P186" t="s">
        <v>59</v>
      </c>
      <c r="Q186" t="s">
        <v>505</v>
      </c>
      <c r="R186" t="s">
        <v>504</v>
      </c>
      <c r="S186" s="1">
        <v>44424</v>
      </c>
      <c r="T186" s="1">
        <v>44428</v>
      </c>
      <c r="U186">
        <v>37501</v>
      </c>
      <c r="V186" t="s">
        <v>104</v>
      </c>
      <c r="W186" t="s">
        <v>506</v>
      </c>
      <c r="X186" s="1">
        <v>44432</v>
      </c>
      <c r="Y186" t="s">
        <v>100</v>
      </c>
      <c r="Z186">
        <v>2040</v>
      </c>
      <c r="AA186">
        <v>16</v>
      </c>
      <c r="AB186">
        <v>320</v>
      </c>
      <c r="AC186">
        <v>0</v>
      </c>
      <c r="AD186">
        <v>2360</v>
      </c>
      <c r="AE186">
        <v>7574.33</v>
      </c>
      <c r="AF186">
        <v>8551</v>
      </c>
      <c r="AG186" t="s">
        <v>468</v>
      </c>
      <c r="AH186" t="s">
        <v>65</v>
      </c>
      <c r="AI186" t="s">
        <v>65</v>
      </c>
      <c r="AJ186" t="s">
        <v>66</v>
      </c>
      <c r="AK186" t="s">
        <v>66</v>
      </c>
      <c r="AL186" t="s">
        <v>66</v>
      </c>
      <c r="AM186" s="2" t="str">
        <f>HYPERLINK("https://transparencia.cidesi.mx/comprobantes/2021/CQ2100682 /C10A33-25869_IRO760325HS6_PDF.pdf")</f>
        <v>https://transparencia.cidesi.mx/comprobantes/2021/CQ2100682 /C10A33-25869_IRO760325HS6_PDF.pdf</v>
      </c>
      <c r="AN186" t="str">
        <f>HYPERLINK("https://transparencia.cidesi.mx/comprobantes/2021/CQ2100682 /C10A33-25869_IRO760325HS6_PDF.pdf")</f>
        <v>https://transparencia.cidesi.mx/comprobantes/2021/CQ2100682 /C10A33-25869_IRO760325HS6_PDF.pdf</v>
      </c>
      <c r="AO186" t="str">
        <f>HYPERLINK("https://transparencia.cidesi.mx/comprobantes/2021/CQ2100682 /C10A33-25869_IRO760325HS6_XML.xml")</f>
        <v>https://transparencia.cidesi.mx/comprobantes/2021/CQ2100682 /C10A33-25869_IRO760325HS6_XML.xml</v>
      </c>
      <c r="AP186" t="s">
        <v>507</v>
      </c>
      <c r="AQ186" t="s">
        <v>464</v>
      </c>
      <c r="AR186" t="s">
        <v>508</v>
      </c>
      <c r="AS186" t="s">
        <v>466</v>
      </c>
      <c r="AT186" s="1">
        <v>44453</v>
      </c>
      <c r="AU186" t="s">
        <v>73</v>
      </c>
    </row>
    <row r="187" spans="1:47" x14ac:dyDescent="0.3">
      <c r="A187" t="s">
        <v>455</v>
      </c>
      <c r="B187" t="s">
        <v>48</v>
      </c>
      <c r="C187" t="s">
        <v>49</v>
      </c>
      <c r="D187">
        <v>459</v>
      </c>
      <c r="E187" t="s">
        <v>456</v>
      </c>
      <c r="F187" t="s">
        <v>457</v>
      </c>
      <c r="G187" t="s">
        <v>351</v>
      </c>
      <c r="H187" t="s">
        <v>503</v>
      </c>
      <c r="I187" t="s">
        <v>54</v>
      </c>
      <c r="J187" t="s">
        <v>504</v>
      </c>
      <c r="K187" t="s">
        <v>56</v>
      </c>
      <c r="L187">
        <v>0</v>
      </c>
      <c r="M187" t="s">
        <v>73</v>
      </c>
      <c r="N187">
        <v>0</v>
      </c>
      <c r="O187" t="s">
        <v>58</v>
      </c>
      <c r="P187" t="s">
        <v>59</v>
      </c>
      <c r="Q187" t="s">
        <v>505</v>
      </c>
      <c r="R187" t="s">
        <v>504</v>
      </c>
      <c r="S187" s="1">
        <v>44424</v>
      </c>
      <c r="T187" s="1">
        <v>44428</v>
      </c>
      <c r="U187">
        <v>37201</v>
      </c>
      <c r="V187" t="s">
        <v>417</v>
      </c>
      <c r="W187" t="s">
        <v>506</v>
      </c>
      <c r="X187" s="1">
        <v>44432</v>
      </c>
      <c r="Y187" t="s">
        <v>100</v>
      </c>
      <c r="Z187">
        <v>366.38</v>
      </c>
      <c r="AA187">
        <v>16</v>
      </c>
      <c r="AB187">
        <v>58.62</v>
      </c>
      <c r="AC187">
        <v>0</v>
      </c>
      <c r="AD187">
        <v>425</v>
      </c>
      <c r="AE187">
        <v>7574.33</v>
      </c>
      <c r="AF187">
        <v>8551</v>
      </c>
      <c r="AG187" t="s">
        <v>509</v>
      </c>
      <c r="AH187" t="s">
        <v>66</v>
      </c>
      <c r="AI187" t="s">
        <v>65</v>
      </c>
      <c r="AJ187" t="s">
        <v>66</v>
      </c>
      <c r="AK187" t="s">
        <v>66</v>
      </c>
      <c r="AL187" t="s">
        <v>66</v>
      </c>
      <c r="AM187" s="2" t="str">
        <f>HYPERLINK("https://transparencia.cidesi.mx/comprobantes/2021/CQ2100682 /C113051047_API6609273E0_PDF.pdf")</f>
        <v>https://transparencia.cidesi.mx/comprobantes/2021/CQ2100682 /C113051047_API6609273E0_PDF.pdf</v>
      </c>
      <c r="AN187" t="str">
        <f>HYPERLINK("https://transparencia.cidesi.mx/comprobantes/2021/CQ2100682 /C113051047_API6609273E0_PDF.pdf")</f>
        <v>https://transparencia.cidesi.mx/comprobantes/2021/CQ2100682 /C113051047_API6609273E0_PDF.pdf</v>
      </c>
      <c r="AO187" t="str">
        <f>HYPERLINK("https://transparencia.cidesi.mx/comprobantes/2021/CQ2100682 /C113051047_API6609273E0_XML.xml")</f>
        <v>https://transparencia.cidesi.mx/comprobantes/2021/CQ2100682 /C113051047_API6609273E0_XML.xml</v>
      </c>
      <c r="AP187" t="s">
        <v>507</v>
      </c>
      <c r="AQ187" t="s">
        <v>464</v>
      </c>
      <c r="AR187" t="s">
        <v>508</v>
      </c>
      <c r="AS187" t="s">
        <v>466</v>
      </c>
      <c r="AT187" s="1">
        <v>44453</v>
      </c>
      <c r="AU187" t="s">
        <v>73</v>
      </c>
    </row>
    <row r="188" spans="1:47" x14ac:dyDescent="0.3">
      <c r="A188" t="s">
        <v>455</v>
      </c>
      <c r="B188" t="s">
        <v>48</v>
      </c>
      <c r="C188" t="s">
        <v>49</v>
      </c>
      <c r="D188">
        <v>459</v>
      </c>
      <c r="E188" t="s">
        <v>456</v>
      </c>
      <c r="F188" t="s">
        <v>457</v>
      </c>
      <c r="G188" t="s">
        <v>351</v>
      </c>
      <c r="H188" t="s">
        <v>503</v>
      </c>
      <c r="I188" t="s">
        <v>54</v>
      </c>
      <c r="J188" t="s">
        <v>504</v>
      </c>
      <c r="K188" t="s">
        <v>56</v>
      </c>
      <c r="L188">
        <v>0</v>
      </c>
      <c r="M188" t="s">
        <v>73</v>
      </c>
      <c r="N188">
        <v>0</v>
      </c>
      <c r="O188" t="s">
        <v>58</v>
      </c>
      <c r="P188" t="s">
        <v>59</v>
      </c>
      <c r="Q188" t="s">
        <v>505</v>
      </c>
      <c r="R188" t="s">
        <v>504</v>
      </c>
      <c r="S188" s="1">
        <v>44424</v>
      </c>
      <c r="T188" s="1">
        <v>44428</v>
      </c>
      <c r="U188">
        <v>37201</v>
      </c>
      <c r="V188" t="s">
        <v>417</v>
      </c>
      <c r="W188" t="s">
        <v>506</v>
      </c>
      <c r="X188" s="1">
        <v>44432</v>
      </c>
      <c r="Y188" t="s">
        <v>100</v>
      </c>
      <c r="Z188">
        <v>366.38</v>
      </c>
      <c r="AA188">
        <v>16</v>
      </c>
      <c r="AB188">
        <v>58.62</v>
      </c>
      <c r="AC188">
        <v>0</v>
      </c>
      <c r="AD188">
        <v>425</v>
      </c>
      <c r="AE188">
        <v>7574.33</v>
      </c>
      <c r="AF188">
        <v>8551</v>
      </c>
      <c r="AG188" t="s">
        <v>509</v>
      </c>
      <c r="AH188" t="s">
        <v>66</v>
      </c>
      <c r="AI188" t="s">
        <v>65</v>
      </c>
      <c r="AJ188" t="s">
        <v>66</v>
      </c>
      <c r="AK188" t="s">
        <v>66</v>
      </c>
      <c r="AL188" t="s">
        <v>66</v>
      </c>
      <c r="AM188" s="2" t="str">
        <f>HYPERLINK("https://transparencia.cidesi.mx/comprobantes/2021/CQ2100682 /C1240280_API6609273E0_PDF.pdf")</f>
        <v>https://transparencia.cidesi.mx/comprobantes/2021/CQ2100682 /C1240280_API6609273E0_PDF.pdf</v>
      </c>
      <c r="AN188" t="str">
        <f>HYPERLINK("https://transparencia.cidesi.mx/comprobantes/2021/CQ2100682 /C1240280_API6609273E0_PDF.pdf")</f>
        <v>https://transparencia.cidesi.mx/comprobantes/2021/CQ2100682 /C1240280_API6609273E0_PDF.pdf</v>
      </c>
      <c r="AO188" t="str">
        <f>HYPERLINK("https://transparencia.cidesi.mx/comprobantes/2021/CQ2100682 /C1240280_API6609273E0_XML.xml")</f>
        <v>https://transparencia.cidesi.mx/comprobantes/2021/CQ2100682 /C1240280_API6609273E0_XML.xml</v>
      </c>
      <c r="AP188" t="s">
        <v>507</v>
      </c>
      <c r="AQ188" t="s">
        <v>464</v>
      </c>
      <c r="AR188" t="s">
        <v>508</v>
      </c>
      <c r="AS188" t="s">
        <v>466</v>
      </c>
      <c r="AT188" s="1">
        <v>44453</v>
      </c>
      <c r="AU188" t="s">
        <v>73</v>
      </c>
    </row>
    <row r="189" spans="1:47" x14ac:dyDescent="0.3">
      <c r="A189" t="s">
        <v>455</v>
      </c>
      <c r="B189" t="s">
        <v>48</v>
      </c>
      <c r="C189" t="s">
        <v>49</v>
      </c>
      <c r="D189">
        <v>459</v>
      </c>
      <c r="E189" t="s">
        <v>456</v>
      </c>
      <c r="F189" t="s">
        <v>457</v>
      </c>
      <c r="G189" t="s">
        <v>351</v>
      </c>
      <c r="H189" t="s">
        <v>503</v>
      </c>
      <c r="I189" t="s">
        <v>54</v>
      </c>
      <c r="J189" t="s">
        <v>504</v>
      </c>
      <c r="K189" t="s">
        <v>56</v>
      </c>
      <c r="L189">
        <v>0</v>
      </c>
      <c r="M189" t="s">
        <v>73</v>
      </c>
      <c r="N189">
        <v>0</v>
      </c>
      <c r="O189" t="s">
        <v>58</v>
      </c>
      <c r="P189" t="s">
        <v>59</v>
      </c>
      <c r="Q189" t="s">
        <v>505</v>
      </c>
      <c r="R189" t="s">
        <v>504</v>
      </c>
      <c r="S189" s="1">
        <v>44424</v>
      </c>
      <c r="T189" s="1">
        <v>44428</v>
      </c>
      <c r="U189">
        <v>37201</v>
      </c>
      <c r="V189" t="s">
        <v>417</v>
      </c>
      <c r="W189" t="s">
        <v>506</v>
      </c>
      <c r="X189" s="1">
        <v>44432</v>
      </c>
      <c r="Y189" t="s">
        <v>100</v>
      </c>
      <c r="Z189">
        <v>175.86</v>
      </c>
      <c r="AA189">
        <v>16</v>
      </c>
      <c r="AB189">
        <v>28.14</v>
      </c>
      <c r="AC189">
        <v>0</v>
      </c>
      <c r="AD189">
        <v>204</v>
      </c>
      <c r="AE189">
        <v>7574.33</v>
      </c>
      <c r="AF189">
        <v>8551</v>
      </c>
      <c r="AG189" t="s">
        <v>509</v>
      </c>
      <c r="AH189" t="s">
        <v>66</v>
      </c>
      <c r="AI189" t="s">
        <v>65</v>
      </c>
      <c r="AJ189" t="s">
        <v>66</v>
      </c>
      <c r="AK189" t="s">
        <v>66</v>
      </c>
      <c r="AL189" t="s">
        <v>66</v>
      </c>
      <c r="AM189" s="2" t="str">
        <f>HYPERLINK("https://transparencia.cidesi.mx/comprobantes/2021/CQ2100682 /C13060122759333_APU640930KV9_PDF.pdf")</f>
        <v>https://transparencia.cidesi.mx/comprobantes/2021/CQ2100682 /C13060122759333_APU640930KV9_PDF.pdf</v>
      </c>
      <c r="AN189" t="str">
        <f>HYPERLINK("https://transparencia.cidesi.mx/comprobantes/2021/CQ2100682 /C13060122759333_APU640930KV9_PDF.pdf")</f>
        <v>https://transparencia.cidesi.mx/comprobantes/2021/CQ2100682 /C13060122759333_APU640930KV9_PDF.pdf</v>
      </c>
      <c r="AO189" t="str">
        <f>HYPERLINK("https://transparencia.cidesi.mx/comprobantes/2021/CQ2100682 /C13060122759333_APU640930KV9_XML.xml")</f>
        <v>https://transparencia.cidesi.mx/comprobantes/2021/CQ2100682 /C13060122759333_APU640930KV9_XML.xml</v>
      </c>
      <c r="AP189" t="s">
        <v>507</v>
      </c>
      <c r="AQ189" t="s">
        <v>464</v>
      </c>
      <c r="AR189" t="s">
        <v>508</v>
      </c>
      <c r="AS189" t="s">
        <v>466</v>
      </c>
      <c r="AT189" s="1">
        <v>44453</v>
      </c>
      <c r="AU189" t="s">
        <v>73</v>
      </c>
    </row>
    <row r="190" spans="1:47" x14ac:dyDescent="0.3">
      <c r="A190" t="s">
        <v>455</v>
      </c>
      <c r="B190" t="s">
        <v>48</v>
      </c>
      <c r="C190" t="s">
        <v>49</v>
      </c>
      <c r="D190">
        <v>459</v>
      </c>
      <c r="E190" t="s">
        <v>456</v>
      </c>
      <c r="F190" t="s">
        <v>457</v>
      </c>
      <c r="G190" t="s">
        <v>351</v>
      </c>
      <c r="H190" t="s">
        <v>503</v>
      </c>
      <c r="I190" t="s">
        <v>54</v>
      </c>
      <c r="J190" t="s">
        <v>504</v>
      </c>
      <c r="K190" t="s">
        <v>56</v>
      </c>
      <c r="L190">
        <v>0</v>
      </c>
      <c r="M190" t="s">
        <v>73</v>
      </c>
      <c r="N190">
        <v>0</v>
      </c>
      <c r="O190" t="s">
        <v>58</v>
      </c>
      <c r="P190" t="s">
        <v>59</v>
      </c>
      <c r="Q190" t="s">
        <v>505</v>
      </c>
      <c r="R190" t="s">
        <v>504</v>
      </c>
      <c r="S190" s="1">
        <v>44424</v>
      </c>
      <c r="T190" s="1">
        <v>44428</v>
      </c>
      <c r="U190">
        <v>37201</v>
      </c>
      <c r="V190" t="s">
        <v>417</v>
      </c>
      <c r="W190" t="s">
        <v>506</v>
      </c>
      <c r="X190" s="1">
        <v>44432</v>
      </c>
      <c r="Y190" t="s">
        <v>100</v>
      </c>
      <c r="Z190">
        <v>250</v>
      </c>
      <c r="AA190">
        <v>0</v>
      </c>
      <c r="AB190">
        <v>0</v>
      </c>
      <c r="AC190">
        <v>0</v>
      </c>
      <c r="AD190">
        <v>250</v>
      </c>
      <c r="AE190">
        <v>7574.33</v>
      </c>
      <c r="AF190">
        <v>8551</v>
      </c>
      <c r="AG190" t="s">
        <v>509</v>
      </c>
      <c r="AH190" t="s">
        <v>66</v>
      </c>
      <c r="AI190" t="s">
        <v>65</v>
      </c>
      <c r="AJ190" t="s">
        <v>66</v>
      </c>
      <c r="AK190" t="s">
        <v>66</v>
      </c>
      <c r="AL190" t="s">
        <v>66</v>
      </c>
      <c r="AM190" s="2" t="str">
        <f>HYPERLINK("https://transparencia.cidesi.mx/comprobantes/2021/CQ2100682 /C1428430_TTA1809044K8_PDF.pdf")</f>
        <v>https://transparencia.cidesi.mx/comprobantes/2021/CQ2100682 /C1428430_TTA1809044K8_PDF.pdf</v>
      </c>
      <c r="AN190" t="str">
        <f>HYPERLINK("https://transparencia.cidesi.mx/comprobantes/2021/CQ2100682 /C1428430_TTA1809044K8_PDF.pdf")</f>
        <v>https://transparencia.cidesi.mx/comprobantes/2021/CQ2100682 /C1428430_TTA1809044K8_PDF.pdf</v>
      </c>
      <c r="AO190" t="str">
        <f>HYPERLINK("https://transparencia.cidesi.mx/comprobantes/2021/CQ2100682 /C1428430_TTA1809044K8_XML.xml")</f>
        <v>https://transparencia.cidesi.mx/comprobantes/2021/CQ2100682 /C1428430_TTA1809044K8_XML.xml</v>
      </c>
      <c r="AP190" t="s">
        <v>507</v>
      </c>
      <c r="AQ190" t="s">
        <v>464</v>
      </c>
      <c r="AR190" t="s">
        <v>508</v>
      </c>
      <c r="AS190" t="s">
        <v>466</v>
      </c>
      <c r="AT190" s="1">
        <v>44453</v>
      </c>
      <c r="AU190" t="s">
        <v>73</v>
      </c>
    </row>
    <row r="191" spans="1:47" x14ac:dyDescent="0.3">
      <c r="A191" t="s">
        <v>455</v>
      </c>
      <c r="B191" t="s">
        <v>48</v>
      </c>
      <c r="C191" t="s">
        <v>49</v>
      </c>
      <c r="D191">
        <v>459</v>
      </c>
      <c r="E191" t="s">
        <v>456</v>
      </c>
      <c r="F191" t="s">
        <v>457</v>
      </c>
      <c r="G191" t="s">
        <v>351</v>
      </c>
      <c r="H191" t="s">
        <v>510</v>
      </c>
      <c r="I191" t="s">
        <v>54</v>
      </c>
      <c r="J191" t="s">
        <v>504</v>
      </c>
      <c r="K191" t="s">
        <v>56</v>
      </c>
      <c r="L191">
        <v>0</v>
      </c>
      <c r="M191" t="s">
        <v>73</v>
      </c>
      <c r="N191">
        <v>0</v>
      </c>
      <c r="O191" t="s">
        <v>58</v>
      </c>
      <c r="P191" t="s">
        <v>59</v>
      </c>
      <c r="Q191" t="s">
        <v>189</v>
      </c>
      <c r="R191" t="s">
        <v>504</v>
      </c>
      <c r="S191" s="1">
        <v>44424</v>
      </c>
      <c r="T191" s="1">
        <v>44424</v>
      </c>
      <c r="U191">
        <v>37104</v>
      </c>
      <c r="V191" t="s">
        <v>471</v>
      </c>
      <c r="W191" t="s">
        <v>511</v>
      </c>
      <c r="X191" s="1">
        <v>44421</v>
      </c>
      <c r="Y191" t="s">
        <v>63</v>
      </c>
      <c r="Z191">
        <v>7686.17</v>
      </c>
      <c r="AA191">
        <v>16</v>
      </c>
      <c r="AB191">
        <v>1084.83</v>
      </c>
      <c r="AC191">
        <v>0</v>
      </c>
      <c r="AD191">
        <v>8771</v>
      </c>
      <c r="AE191">
        <v>8771</v>
      </c>
      <c r="AF191">
        <v>8771</v>
      </c>
      <c r="AG191" t="s">
        <v>473</v>
      </c>
      <c r="AH191" t="s">
        <v>66</v>
      </c>
      <c r="AI191" t="s">
        <v>65</v>
      </c>
      <c r="AJ191" t="s">
        <v>66</v>
      </c>
      <c r="AK191" t="s">
        <v>66</v>
      </c>
      <c r="AL191" t="s">
        <v>66</v>
      </c>
      <c r="AM191" s="2" t="str">
        <f>HYPERLINK("https://transparencia.cidesi.mx/comprobantes/2021/CAQ210025 /C1F-1392123598216_AME880912189_PDF.pdf")</f>
        <v>https://transparencia.cidesi.mx/comprobantes/2021/CAQ210025 /C1F-1392123598216_AME880912189_PDF.pdf</v>
      </c>
      <c r="AN191" t="str">
        <f>HYPERLINK("https://transparencia.cidesi.mx/comprobantes/2021/CAQ210025 /C1F-1392123598216_AME880912189_PDF.pdf")</f>
        <v>https://transparencia.cidesi.mx/comprobantes/2021/CAQ210025 /C1F-1392123598216_AME880912189_PDF.pdf</v>
      </c>
      <c r="AO191" t="str">
        <f>HYPERLINK("https://transparencia.cidesi.mx/comprobantes/2021/CAQ210025 /C1F-1392123598216_AME880912189_XML.xml")</f>
        <v>https://transparencia.cidesi.mx/comprobantes/2021/CAQ210025 /C1F-1392123598216_AME880912189_XML.xml</v>
      </c>
      <c r="AP191" t="s">
        <v>512</v>
      </c>
      <c r="AQ191" t="s">
        <v>513</v>
      </c>
      <c r="AR191" t="s">
        <v>514</v>
      </c>
      <c r="AS191" t="s">
        <v>515</v>
      </c>
      <c r="AT191" s="1">
        <v>44424</v>
      </c>
      <c r="AU191" s="1">
        <v>44425</v>
      </c>
    </row>
    <row r="192" spans="1:47" x14ac:dyDescent="0.3">
      <c r="A192" t="s">
        <v>455</v>
      </c>
      <c r="B192" t="s">
        <v>48</v>
      </c>
      <c r="C192" t="s">
        <v>49</v>
      </c>
      <c r="D192">
        <v>459</v>
      </c>
      <c r="E192" t="s">
        <v>456</v>
      </c>
      <c r="F192" t="s">
        <v>457</v>
      </c>
      <c r="G192" t="s">
        <v>351</v>
      </c>
      <c r="H192" t="s">
        <v>516</v>
      </c>
      <c r="I192" t="s">
        <v>54</v>
      </c>
      <c r="J192" t="s">
        <v>517</v>
      </c>
      <c r="K192" t="s">
        <v>56</v>
      </c>
      <c r="L192">
        <v>0</v>
      </c>
      <c r="M192" t="s">
        <v>73</v>
      </c>
      <c r="N192">
        <v>0</v>
      </c>
      <c r="O192" t="s">
        <v>58</v>
      </c>
      <c r="P192" t="s">
        <v>59</v>
      </c>
      <c r="Q192" t="s">
        <v>216</v>
      </c>
      <c r="R192" t="s">
        <v>517</v>
      </c>
      <c r="S192" s="1">
        <v>44441</v>
      </c>
      <c r="T192" s="1">
        <v>44441</v>
      </c>
      <c r="U192">
        <v>37501</v>
      </c>
      <c r="V192" t="s">
        <v>61</v>
      </c>
      <c r="W192" t="s">
        <v>518</v>
      </c>
      <c r="X192" s="1">
        <v>44445</v>
      </c>
      <c r="Y192" t="s">
        <v>63</v>
      </c>
      <c r="Z192">
        <v>525.86</v>
      </c>
      <c r="AA192">
        <v>16</v>
      </c>
      <c r="AB192">
        <v>84.14</v>
      </c>
      <c r="AC192">
        <v>0</v>
      </c>
      <c r="AD192">
        <v>610</v>
      </c>
      <c r="AE192">
        <v>610</v>
      </c>
      <c r="AF192">
        <v>783</v>
      </c>
      <c r="AG192" t="s">
        <v>462</v>
      </c>
      <c r="AH192" t="s">
        <v>65</v>
      </c>
      <c r="AI192" t="s">
        <v>65</v>
      </c>
      <c r="AJ192" t="s">
        <v>66</v>
      </c>
      <c r="AK192" t="s">
        <v>66</v>
      </c>
      <c r="AL192" t="s">
        <v>66</v>
      </c>
      <c r="AM192" s="2" t="str">
        <f>HYPERLINK("https://transparencia.cidesi.mx/comprobantes/2021/CQ2100733 /C1S-61409_ROMS530216186_PDF.pdf")</f>
        <v>https://transparencia.cidesi.mx/comprobantes/2021/CQ2100733 /C1S-61409_ROMS530216186_PDF.pdf</v>
      </c>
      <c r="AN192" t="str">
        <f>HYPERLINK("https://transparencia.cidesi.mx/comprobantes/2021/CQ2100733 /C1S-61409_ROMS530216186_PDF.pdf")</f>
        <v>https://transparencia.cidesi.mx/comprobantes/2021/CQ2100733 /C1S-61409_ROMS530216186_PDF.pdf</v>
      </c>
      <c r="AO192" t="str">
        <f>HYPERLINK("https://transparencia.cidesi.mx/comprobantes/2021/CQ2100733 /C1S-61409_ROMS530216186_XML.xml")</f>
        <v>https://transparencia.cidesi.mx/comprobantes/2021/CQ2100733 /C1S-61409_ROMS530216186_XML.xml</v>
      </c>
      <c r="AP192" t="s">
        <v>519</v>
      </c>
      <c r="AQ192" t="s">
        <v>520</v>
      </c>
      <c r="AR192" t="s">
        <v>521</v>
      </c>
      <c r="AS192" t="s">
        <v>522</v>
      </c>
      <c r="AT192" s="1">
        <v>44445</v>
      </c>
      <c r="AU192" s="1">
        <v>44453</v>
      </c>
    </row>
    <row r="193" spans="1:47" x14ac:dyDescent="0.3">
      <c r="A193" t="s">
        <v>455</v>
      </c>
      <c r="B193" t="s">
        <v>48</v>
      </c>
      <c r="C193" t="s">
        <v>49</v>
      </c>
      <c r="D193">
        <v>459</v>
      </c>
      <c r="E193" t="s">
        <v>456</v>
      </c>
      <c r="F193" t="s">
        <v>457</v>
      </c>
      <c r="G193" t="s">
        <v>351</v>
      </c>
      <c r="H193" t="s">
        <v>523</v>
      </c>
      <c r="I193" t="s">
        <v>54</v>
      </c>
      <c r="J193" t="s">
        <v>524</v>
      </c>
      <c r="K193" t="s">
        <v>56</v>
      </c>
      <c r="L193">
        <v>0</v>
      </c>
      <c r="M193" t="s">
        <v>73</v>
      </c>
      <c r="N193">
        <v>0</v>
      </c>
      <c r="O193" t="s">
        <v>58</v>
      </c>
      <c r="P193" t="s">
        <v>59</v>
      </c>
      <c r="Q193" t="s">
        <v>189</v>
      </c>
      <c r="R193" t="s">
        <v>524</v>
      </c>
      <c r="S193" s="1">
        <v>44446</v>
      </c>
      <c r="T193" s="1">
        <v>44446</v>
      </c>
      <c r="U193">
        <v>37104</v>
      </c>
      <c r="V193" t="s">
        <v>471</v>
      </c>
      <c r="W193" t="s">
        <v>525</v>
      </c>
      <c r="X193" s="1">
        <v>44435</v>
      </c>
      <c r="Y193" t="s">
        <v>63</v>
      </c>
      <c r="Z193">
        <v>4648.24</v>
      </c>
      <c r="AA193">
        <v>16</v>
      </c>
      <c r="AB193">
        <v>598.76</v>
      </c>
      <c r="AC193">
        <v>0</v>
      </c>
      <c r="AD193">
        <v>5247</v>
      </c>
      <c r="AE193">
        <v>5247</v>
      </c>
      <c r="AF193">
        <v>5247</v>
      </c>
      <c r="AG193" t="s">
        <v>473</v>
      </c>
      <c r="AH193" t="s">
        <v>66</v>
      </c>
      <c r="AI193" t="s">
        <v>65</v>
      </c>
      <c r="AJ193" t="s">
        <v>66</v>
      </c>
      <c r="AK193" t="s">
        <v>66</v>
      </c>
      <c r="AL193" t="s">
        <v>66</v>
      </c>
      <c r="AM193" s="2" t="str">
        <f>HYPERLINK("https://transparencia.cidesi.mx/comprobantes/2021/CAQ210030 /C1F-1392123884715_AME880912189_PDF.pdf")</f>
        <v>https://transparencia.cidesi.mx/comprobantes/2021/CAQ210030 /C1F-1392123884715_AME880912189_PDF.pdf</v>
      </c>
      <c r="AN193" t="str">
        <f>HYPERLINK("https://transparencia.cidesi.mx/comprobantes/2021/CAQ210030 /C1F-1392123884715_AME880912189_PDF.pdf")</f>
        <v>https://transparencia.cidesi.mx/comprobantes/2021/CAQ210030 /C1F-1392123884715_AME880912189_PDF.pdf</v>
      </c>
      <c r="AO193" t="str">
        <f>HYPERLINK("https://transparencia.cidesi.mx/comprobantes/2021/CAQ210030 /C1F-1392123884715_AME880912189_XML.xml")</f>
        <v>https://transparencia.cidesi.mx/comprobantes/2021/CAQ210030 /C1F-1392123884715_AME880912189_XML.xml</v>
      </c>
      <c r="AP193" t="s">
        <v>526</v>
      </c>
      <c r="AQ193" t="s">
        <v>464</v>
      </c>
      <c r="AR193" t="s">
        <v>508</v>
      </c>
      <c r="AS193" t="s">
        <v>497</v>
      </c>
      <c r="AT193" s="1">
        <v>44439</v>
      </c>
      <c r="AU193" s="1">
        <v>44440</v>
      </c>
    </row>
    <row r="194" spans="1:47" x14ac:dyDescent="0.3">
      <c r="A194" t="s">
        <v>455</v>
      </c>
      <c r="B194" t="s">
        <v>48</v>
      </c>
      <c r="C194" t="s">
        <v>49</v>
      </c>
      <c r="D194">
        <v>459</v>
      </c>
      <c r="E194" t="s">
        <v>456</v>
      </c>
      <c r="F194" t="s">
        <v>457</v>
      </c>
      <c r="G194" t="s">
        <v>351</v>
      </c>
      <c r="H194" t="s">
        <v>527</v>
      </c>
      <c r="I194" t="s">
        <v>54</v>
      </c>
      <c r="J194" t="s">
        <v>524</v>
      </c>
      <c r="K194" t="s">
        <v>56</v>
      </c>
      <c r="L194">
        <v>101019</v>
      </c>
      <c r="M194" t="s">
        <v>493</v>
      </c>
      <c r="N194">
        <v>0</v>
      </c>
      <c r="O194" t="s">
        <v>58</v>
      </c>
      <c r="P194" t="s">
        <v>59</v>
      </c>
      <c r="Q194" t="s">
        <v>460</v>
      </c>
      <c r="R194" t="s">
        <v>524</v>
      </c>
      <c r="S194" s="1">
        <v>44446</v>
      </c>
      <c r="T194" s="1">
        <v>44449</v>
      </c>
      <c r="U194">
        <v>37501</v>
      </c>
      <c r="V194" t="s">
        <v>61</v>
      </c>
      <c r="W194" t="s">
        <v>528</v>
      </c>
      <c r="X194" s="1">
        <v>44452</v>
      </c>
      <c r="Y194" t="s">
        <v>100</v>
      </c>
      <c r="Z194">
        <v>81.900000000000006</v>
      </c>
      <c r="AA194">
        <v>16</v>
      </c>
      <c r="AB194">
        <v>13.1</v>
      </c>
      <c r="AC194">
        <v>0</v>
      </c>
      <c r="AD194">
        <v>95</v>
      </c>
      <c r="AE194">
        <v>7193.74</v>
      </c>
      <c r="AF194">
        <v>8041</v>
      </c>
      <c r="AG194" t="s">
        <v>462</v>
      </c>
      <c r="AH194" t="s">
        <v>65</v>
      </c>
      <c r="AI194" t="s">
        <v>65</v>
      </c>
      <c r="AJ194" t="s">
        <v>66</v>
      </c>
      <c r="AK194" t="s">
        <v>66</v>
      </c>
      <c r="AL194" t="s">
        <v>66</v>
      </c>
      <c r="AM194" s="2" t="str">
        <f>HYPERLINK("https://transparencia.cidesi.mx/comprobantes/2021/CQ2100794 /C1C33-11_HSC140730SU4_PDF.pdf")</f>
        <v>https://transparencia.cidesi.mx/comprobantes/2021/CQ2100794 /C1C33-11_HSC140730SU4_PDF.pdf</v>
      </c>
      <c r="AN194" t="str">
        <f>HYPERLINK("https://transparencia.cidesi.mx/comprobantes/2021/CQ2100794 /C1C33-11_HSC140730SU4_PDF.pdf")</f>
        <v>https://transparencia.cidesi.mx/comprobantes/2021/CQ2100794 /C1C33-11_HSC140730SU4_PDF.pdf</v>
      </c>
      <c r="AO194" t="str">
        <f>HYPERLINK("https://transparencia.cidesi.mx/comprobantes/2021/CQ2100794 /C1C33-11_HSC140730SU4_XML.xml")</f>
        <v>https://transparencia.cidesi.mx/comprobantes/2021/CQ2100794 /C1C33-11_HSC140730SU4_XML.xml</v>
      </c>
      <c r="AP194" t="s">
        <v>529</v>
      </c>
      <c r="AQ194" t="s">
        <v>530</v>
      </c>
      <c r="AR194" t="s">
        <v>531</v>
      </c>
      <c r="AS194" t="s">
        <v>532</v>
      </c>
      <c r="AT194" s="1">
        <v>44454</v>
      </c>
      <c r="AU194" t="s">
        <v>73</v>
      </c>
    </row>
    <row r="195" spans="1:47" x14ac:dyDescent="0.3">
      <c r="A195" t="s">
        <v>455</v>
      </c>
      <c r="B195" t="s">
        <v>48</v>
      </c>
      <c r="C195" t="s">
        <v>49</v>
      </c>
      <c r="D195">
        <v>459</v>
      </c>
      <c r="E195" t="s">
        <v>456</v>
      </c>
      <c r="F195" t="s">
        <v>457</v>
      </c>
      <c r="G195" t="s">
        <v>351</v>
      </c>
      <c r="H195" t="s">
        <v>527</v>
      </c>
      <c r="I195" t="s">
        <v>54</v>
      </c>
      <c r="J195" t="s">
        <v>524</v>
      </c>
      <c r="K195" t="s">
        <v>56</v>
      </c>
      <c r="L195">
        <v>101019</v>
      </c>
      <c r="M195" t="s">
        <v>493</v>
      </c>
      <c r="N195">
        <v>0</v>
      </c>
      <c r="O195" t="s">
        <v>58</v>
      </c>
      <c r="P195" t="s">
        <v>59</v>
      </c>
      <c r="Q195" t="s">
        <v>460</v>
      </c>
      <c r="R195" t="s">
        <v>524</v>
      </c>
      <c r="S195" s="1">
        <v>44446</v>
      </c>
      <c r="T195" s="1">
        <v>44449</v>
      </c>
      <c r="U195">
        <v>37501</v>
      </c>
      <c r="V195" t="s">
        <v>61</v>
      </c>
      <c r="W195" t="s">
        <v>528</v>
      </c>
      <c r="X195" s="1">
        <v>44452</v>
      </c>
      <c r="Y195" t="s">
        <v>100</v>
      </c>
      <c r="Z195">
        <v>481.68</v>
      </c>
      <c r="AA195">
        <v>16</v>
      </c>
      <c r="AB195">
        <v>77.069999999999993</v>
      </c>
      <c r="AC195">
        <v>0</v>
      </c>
      <c r="AD195">
        <v>558.75</v>
      </c>
      <c r="AE195">
        <v>7193.74</v>
      </c>
      <c r="AF195">
        <v>8041</v>
      </c>
      <c r="AG195" t="s">
        <v>462</v>
      </c>
      <c r="AH195" t="s">
        <v>65</v>
      </c>
      <c r="AI195" t="s">
        <v>65</v>
      </c>
      <c r="AJ195" t="s">
        <v>66</v>
      </c>
      <c r="AK195" t="s">
        <v>66</v>
      </c>
      <c r="AL195" t="s">
        <v>66</v>
      </c>
      <c r="AM195" s="2" t="str">
        <f>HYPERLINK("https://transparencia.cidesi.mx/comprobantes/2021/CQ2100794 /C2A12917_OGP110805JN3_PDF.pdf")</f>
        <v>https://transparencia.cidesi.mx/comprobantes/2021/CQ2100794 /C2A12917_OGP110805JN3_PDF.pdf</v>
      </c>
      <c r="AN195" t="str">
        <f>HYPERLINK("https://transparencia.cidesi.mx/comprobantes/2021/CQ2100794 /C2A12917_OGP110805JN3_PDF.pdf")</f>
        <v>https://transparencia.cidesi.mx/comprobantes/2021/CQ2100794 /C2A12917_OGP110805JN3_PDF.pdf</v>
      </c>
      <c r="AO195" t="str">
        <f>HYPERLINK("https://transparencia.cidesi.mx/comprobantes/2021/CQ2100794 /C2A12917_OGP110805JN3_XML.xml")</f>
        <v>https://transparencia.cidesi.mx/comprobantes/2021/CQ2100794 /C2A12917_OGP110805JN3_XML.xml</v>
      </c>
      <c r="AP195" t="s">
        <v>529</v>
      </c>
      <c r="AQ195" t="s">
        <v>530</v>
      </c>
      <c r="AR195" t="s">
        <v>531</v>
      </c>
      <c r="AS195" t="s">
        <v>532</v>
      </c>
      <c r="AT195" s="1">
        <v>44454</v>
      </c>
      <c r="AU195" t="s">
        <v>73</v>
      </c>
    </row>
    <row r="196" spans="1:47" x14ac:dyDescent="0.3">
      <c r="A196" t="s">
        <v>455</v>
      </c>
      <c r="B196" t="s">
        <v>48</v>
      </c>
      <c r="C196" t="s">
        <v>49</v>
      </c>
      <c r="D196">
        <v>459</v>
      </c>
      <c r="E196" t="s">
        <v>456</v>
      </c>
      <c r="F196" t="s">
        <v>457</v>
      </c>
      <c r="G196" t="s">
        <v>351</v>
      </c>
      <c r="H196" t="s">
        <v>527</v>
      </c>
      <c r="I196" t="s">
        <v>54</v>
      </c>
      <c r="J196" t="s">
        <v>524</v>
      </c>
      <c r="K196" t="s">
        <v>56</v>
      </c>
      <c r="L196">
        <v>101019</v>
      </c>
      <c r="M196" t="s">
        <v>493</v>
      </c>
      <c r="N196">
        <v>0</v>
      </c>
      <c r="O196" t="s">
        <v>58</v>
      </c>
      <c r="P196" t="s">
        <v>59</v>
      </c>
      <c r="Q196" t="s">
        <v>460</v>
      </c>
      <c r="R196" t="s">
        <v>524</v>
      </c>
      <c r="S196" s="1">
        <v>44446</v>
      </c>
      <c r="T196" s="1">
        <v>44449</v>
      </c>
      <c r="U196">
        <v>37501</v>
      </c>
      <c r="V196" t="s">
        <v>61</v>
      </c>
      <c r="W196" t="s">
        <v>528</v>
      </c>
      <c r="X196" s="1">
        <v>44452</v>
      </c>
      <c r="Y196" t="s">
        <v>100</v>
      </c>
      <c r="Z196">
        <v>585.09</v>
      </c>
      <c r="AA196">
        <v>16</v>
      </c>
      <c r="AB196">
        <v>93.61</v>
      </c>
      <c r="AC196">
        <v>0</v>
      </c>
      <c r="AD196">
        <v>678.7</v>
      </c>
      <c r="AE196">
        <v>7193.74</v>
      </c>
      <c r="AF196">
        <v>8041</v>
      </c>
      <c r="AG196" t="s">
        <v>462</v>
      </c>
      <c r="AH196" t="s">
        <v>65</v>
      </c>
      <c r="AI196" t="s">
        <v>65</v>
      </c>
      <c r="AJ196" t="s">
        <v>66</v>
      </c>
      <c r="AK196" t="s">
        <v>66</v>
      </c>
      <c r="AL196" t="s">
        <v>66</v>
      </c>
      <c r="AM196" s="2" t="str">
        <f>HYPERLINK("https://transparencia.cidesi.mx/comprobantes/2021/CQ2100794 /C3A12967_SBR991021NXA_PDF.pdf")</f>
        <v>https://transparencia.cidesi.mx/comprobantes/2021/CQ2100794 /C3A12967_SBR991021NXA_PDF.pdf</v>
      </c>
      <c r="AN196" t="str">
        <f>HYPERLINK("https://transparencia.cidesi.mx/comprobantes/2021/CQ2100794 /C3A12967_SBR991021NXA_PDF.pdf")</f>
        <v>https://transparencia.cidesi.mx/comprobantes/2021/CQ2100794 /C3A12967_SBR991021NXA_PDF.pdf</v>
      </c>
      <c r="AO196" t="str">
        <f>HYPERLINK("https://transparencia.cidesi.mx/comprobantes/2021/CQ2100794 /C3A12967_SBR991021NXA_XML.xml")</f>
        <v>https://transparencia.cidesi.mx/comprobantes/2021/CQ2100794 /C3A12967_SBR991021NXA_XML.xml</v>
      </c>
      <c r="AP196" t="s">
        <v>529</v>
      </c>
      <c r="AQ196" t="s">
        <v>530</v>
      </c>
      <c r="AR196" t="s">
        <v>531</v>
      </c>
      <c r="AS196" t="s">
        <v>532</v>
      </c>
      <c r="AT196" s="1">
        <v>44454</v>
      </c>
      <c r="AU196" t="s">
        <v>73</v>
      </c>
    </row>
    <row r="197" spans="1:47" x14ac:dyDescent="0.3">
      <c r="A197" t="s">
        <v>455</v>
      </c>
      <c r="B197" t="s">
        <v>48</v>
      </c>
      <c r="C197" t="s">
        <v>49</v>
      </c>
      <c r="D197">
        <v>459</v>
      </c>
      <c r="E197" t="s">
        <v>456</v>
      </c>
      <c r="F197" t="s">
        <v>457</v>
      </c>
      <c r="G197" t="s">
        <v>351</v>
      </c>
      <c r="H197" t="s">
        <v>527</v>
      </c>
      <c r="I197" t="s">
        <v>54</v>
      </c>
      <c r="J197" t="s">
        <v>524</v>
      </c>
      <c r="K197" t="s">
        <v>56</v>
      </c>
      <c r="L197">
        <v>101019</v>
      </c>
      <c r="M197" t="s">
        <v>493</v>
      </c>
      <c r="N197">
        <v>0</v>
      </c>
      <c r="O197" t="s">
        <v>58</v>
      </c>
      <c r="P197" t="s">
        <v>59</v>
      </c>
      <c r="Q197" t="s">
        <v>460</v>
      </c>
      <c r="R197" t="s">
        <v>524</v>
      </c>
      <c r="S197" s="1">
        <v>44446</v>
      </c>
      <c r="T197" s="1">
        <v>44449</v>
      </c>
      <c r="U197">
        <v>37501</v>
      </c>
      <c r="V197" t="s">
        <v>104</v>
      </c>
      <c r="W197" t="s">
        <v>528</v>
      </c>
      <c r="X197" s="1">
        <v>44452</v>
      </c>
      <c r="Y197" t="s">
        <v>100</v>
      </c>
      <c r="Z197">
        <v>3082.03</v>
      </c>
      <c r="AA197">
        <v>16</v>
      </c>
      <c r="AB197">
        <v>483.46</v>
      </c>
      <c r="AC197">
        <v>0</v>
      </c>
      <c r="AD197">
        <v>3565.49</v>
      </c>
      <c r="AE197">
        <v>7193.74</v>
      </c>
      <c r="AF197">
        <v>8041</v>
      </c>
      <c r="AG197" t="s">
        <v>468</v>
      </c>
      <c r="AH197" t="s">
        <v>65</v>
      </c>
      <c r="AI197" t="s">
        <v>65</v>
      </c>
      <c r="AJ197" t="s">
        <v>66</v>
      </c>
      <c r="AK197" t="s">
        <v>66</v>
      </c>
      <c r="AL197" t="s">
        <v>66</v>
      </c>
      <c r="AM197" s="2" t="str">
        <f>HYPERLINK("https://transparencia.cidesi.mx/comprobantes/2021/CQ2100794 /C4A33-116_HSC140730SU4_PDF.pdf")</f>
        <v>https://transparencia.cidesi.mx/comprobantes/2021/CQ2100794 /C4A33-116_HSC140730SU4_PDF.pdf</v>
      </c>
      <c r="AN197" t="str">
        <f>HYPERLINK("https://transparencia.cidesi.mx/comprobantes/2021/CQ2100794 /C4A33-116_HSC140730SU4_PDF.pdf")</f>
        <v>https://transparencia.cidesi.mx/comprobantes/2021/CQ2100794 /C4A33-116_HSC140730SU4_PDF.pdf</v>
      </c>
      <c r="AO197" t="str">
        <f>HYPERLINK("https://transparencia.cidesi.mx/comprobantes/2021/CQ2100794 /C4A33-116_HSC140730SU4_XML.xml")</f>
        <v>https://transparencia.cidesi.mx/comprobantes/2021/CQ2100794 /C4A33-116_HSC140730SU4_XML.xml</v>
      </c>
      <c r="AP197" t="s">
        <v>529</v>
      </c>
      <c r="AQ197" t="s">
        <v>530</v>
      </c>
      <c r="AR197" t="s">
        <v>531</v>
      </c>
      <c r="AS197" t="s">
        <v>532</v>
      </c>
      <c r="AT197" s="1">
        <v>44454</v>
      </c>
      <c r="AU197" t="s">
        <v>73</v>
      </c>
    </row>
    <row r="198" spans="1:47" x14ac:dyDescent="0.3">
      <c r="A198" t="s">
        <v>455</v>
      </c>
      <c r="B198" t="s">
        <v>48</v>
      </c>
      <c r="C198" t="s">
        <v>49</v>
      </c>
      <c r="D198">
        <v>459</v>
      </c>
      <c r="E198" t="s">
        <v>456</v>
      </c>
      <c r="F198" t="s">
        <v>457</v>
      </c>
      <c r="G198" t="s">
        <v>351</v>
      </c>
      <c r="H198" t="s">
        <v>527</v>
      </c>
      <c r="I198" t="s">
        <v>54</v>
      </c>
      <c r="J198" t="s">
        <v>524</v>
      </c>
      <c r="K198" t="s">
        <v>56</v>
      </c>
      <c r="L198">
        <v>101019</v>
      </c>
      <c r="M198" t="s">
        <v>493</v>
      </c>
      <c r="N198">
        <v>0</v>
      </c>
      <c r="O198" t="s">
        <v>58</v>
      </c>
      <c r="P198" t="s">
        <v>59</v>
      </c>
      <c r="Q198" t="s">
        <v>460</v>
      </c>
      <c r="R198" t="s">
        <v>524</v>
      </c>
      <c r="S198" s="1">
        <v>44446</v>
      </c>
      <c r="T198" s="1">
        <v>44449</v>
      </c>
      <c r="U198">
        <v>37201</v>
      </c>
      <c r="V198" t="s">
        <v>417</v>
      </c>
      <c r="W198" t="s">
        <v>528</v>
      </c>
      <c r="X198" s="1">
        <v>44452</v>
      </c>
      <c r="Y198" t="s">
        <v>100</v>
      </c>
      <c r="Z198">
        <v>366.38</v>
      </c>
      <c r="AA198">
        <v>16</v>
      </c>
      <c r="AB198">
        <v>58.62</v>
      </c>
      <c r="AC198">
        <v>0</v>
      </c>
      <c r="AD198">
        <v>425</v>
      </c>
      <c r="AE198">
        <v>7193.74</v>
      </c>
      <c r="AF198">
        <v>8041</v>
      </c>
      <c r="AG198" t="s">
        <v>533</v>
      </c>
      <c r="AH198" t="s">
        <v>66</v>
      </c>
      <c r="AI198" t="s">
        <v>65</v>
      </c>
      <c r="AJ198" t="s">
        <v>66</v>
      </c>
      <c r="AK198" t="s">
        <v>66</v>
      </c>
      <c r="AL198" t="s">
        <v>66</v>
      </c>
      <c r="AM198" s="2" t="str">
        <f>HYPERLINK("https://transparencia.cidesi.mx/comprobantes/2021/CQ2100794 /C553621_API6609273EO_PDF.pdf")</f>
        <v>https://transparencia.cidesi.mx/comprobantes/2021/CQ2100794 /C553621_API6609273EO_PDF.pdf</v>
      </c>
      <c r="AN198" t="str">
        <f>HYPERLINK("https://transparencia.cidesi.mx/comprobantes/2021/CQ2100794 /C553621_API6609273EO_PDF.pdf")</f>
        <v>https://transparencia.cidesi.mx/comprobantes/2021/CQ2100794 /C553621_API6609273EO_PDF.pdf</v>
      </c>
      <c r="AO198" t="str">
        <f>HYPERLINK("https://transparencia.cidesi.mx/comprobantes/2021/CQ2100794 /C553621_API6609273EO_XML.xml")</f>
        <v>https://transparencia.cidesi.mx/comprobantes/2021/CQ2100794 /C553621_API6609273EO_XML.xml</v>
      </c>
      <c r="AP198" t="s">
        <v>529</v>
      </c>
      <c r="AQ198" t="s">
        <v>530</v>
      </c>
      <c r="AR198" t="s">
        <v>531</v>
      </c>
      <c r="AS198" t="s">
        <v>532</v>
      </c>
      <c r="AT198" s="1">
        <v>44454</v>
      </c>
      <c r="AU198" t="s">
        <v>73</v>
      </c>
    </row>
    <row r="199" spans="1:47" x14ac:dyDescent="0.3">
      <c r="A199" t="s">
        <v>455</v>
      </c>
      <c r="B199" t="s">
        <v>48</v>
      </c>
      <c r="C199" t="s">
        <v>49</v>
      </c>
      <c r="D199">
        <v>459</v>
      </c>
      <c r="E199" t="s">
        <v>456</v>
      </c>
      <c r="F199" t="s">
        <v>457</v>
      </c>
      <c r="G199" t="s">
        <v>351</v>
      </c>
      <c r="H199" t="s">
        <v>527</v>
      </c>
      <c r="I199" t="s">
        <v>54</v>
      </c>
      <c r="J199" t="s">
        <v>524</v>
      </c>
      <c r="K199" t="s">
        <v>56</v>
      </c>
      <c r="L199">
        <v>101019</v>
      </c>
      <c r="M199" t="s">
        <v>493</v>
      </c>
      <c r="N199">
        <v>0</v>
      </c>
      <c r="O199" t="s">
        <v>58</v>
      </c>
      <c r="P199" t="s">
        <v>59</v>
      </c>
      <c r="Q199" t="s">
        <v>460</v>
      </c>
      <c r="R199" t="s">
        <v>524</v>
      </c>
      <c r="S199" s="1">
        <v>44446</v>
      </c>
      <c r="T199" s="1">
        <v>44449</v>
      </c>
      <c r="U199">
        <v>37501</v>
      </c>
      <c r="V199" t="s">
        <v>534</v>
      </c>
      <c r="W199" t="s">
        <v>528</v>
      </c>
      <c r="X199" s="1">
        <v>44452</v>
      </c>
      <c r="Y199" t="s">
        <v>100</v>
      </c>
      <c r="Z199">
        <v>130</v>
      </c>
      <c r="AA199">
        <v>16</v>
      </c>
      <c r="AB199">
        <v>20.8</v>
      </c>
      <c r="AC199">
        <v>0</v>
      </c>
      <c r="AD199">
        <v>150.80000000000001</v>
      </c>
      <c r="AE199">
        <v>7193.74</v>
      </c>
      <c r="AF199">
        <v>8041</v>
      </c>
      <c r="AG199" t="s">
        <v>535</v>
      </c>
      <c r="AH199" t="s">
        <v>66</v>
      </c>
      <c r="AI199" t="s">
        <v>65</v>
      </c>
      <c r="AJ199" t="s">
        <v>66</v>
      </c>
      <c r="AK199" t="s">
        <v>66</v>
      </c>
      <c r="AL199" t="s">
        <v>66</v>
      </c>
      <c r="AM199" s="2" t="str">
        <f>HYPERLINK("https://transparencia.cidesi.mx/comprobantes/2021/CQ2100794 /C6F362D9_AAPO740106CF2_PDF.pdf")</f>
        <v>https://transparencia.cidesi.mx/comprobantes/2021/CQ2100794 /C6F362D9_AAPO740106CF2_PDF.pdf</v>
      </c>
      <c r="AN199" t="str">
        <f>HYPERLINK("https://transparencia.cidesi.mx/comprobantes/2021/CQ2100794 /C6F362D9_AAPO740106CF2_PDF.pdf")</f>
        <v>https://transparencia.cidesi.mx/comprobantes/2021/CQ2100794 /C6F362D9_AAPO740106CF2_PDF.pdf</v>
      </c>
      <c r="AO199" t="str">
        <f>HYPERLINK("https://transparencia.cidesi.mx/comprobantes/2021/CQ2100794 /C6F362D9_AAPO740106CF2_XML.xml")</f>
        <v>https://transparencia.cidesi.mx/comprobantes/2021/CQ2100794 /C6F362D9_AAPO740106CF2_XML.xml</v>
      </c>
      <c r="AP199" t="s">
        <v>529</v>
      </c>
      <c r="AQ199" t="s">
        <v>530</v>
      </c>
      <c r="AR199" t="s">
        <v>531</v>
      </c>
      <c r="AS199" t="s">
        <v>532</v>
      </c>
      <c r="AT199" s="1">
        <v>44454</v>
      </c>
      <c r="AU199" t="s">
        <v>73</v>
      </c>
    </row>
    <row r="200" spans="1:47" x14ac:dyDescent="0.3">
      <c r="A200" t="s">
        <v>455</v>
      </c>
      <c r="B200" t="s">
        <v>48</v>
      </c>
      <c r="C200" t="s">
        <v>49</v>
      </c>
      <c r="D200">
        <v>459</v>
      </c>
      <c r="E200" t="s">
        <v>456</v>
      </c>
      <c r="F200" t="s">
        <v>457</v>
      </c>
      <c r="G200" t="s">
        <v>351</v>
      </c>
      <c r="H200" t="s">
        <v>527</v>
      </c>
      <c r="I200" t="s">
        <v>54</v>
      </c>
      <c r="J200" t="s">
        <v>524</v>
      </c>
      <c r="K200" t="s">
        <v>56</v>
      </c>
      <c r="L200">
        <v>101019</v>
      </c>
      <c r="M200" t="s">
        <v>493</v>
      </c>
      <c r="N200">
        <v>0</v>
      </c>
      <c r="O200" t="s">
        <v>58</v>
      </c>
      <c r="P200" t="s">
        <v>59</v>
      </c>
      <c r="Q200" t="s">
        <v>460</v>
      </c>
      <c r="R200" t="s">
        <v>524</v>
      </c>
      <c r="S200" s="1">
        <v>44446</v>
      </c>
      <c r="T200" s="1">
        <v>44449</v>
      </c>
      <c r="U200">
        <v>37104</v>
      </c>
      <c r="V200" t="s">
        <v>471</v>
      </c>
      <c r="W200" t="s">
        <v>528</v>
      </c>
      <c r="X200" s="1">
        <v>44452</v>
      </c>
      <c r="Y200" t="s">
        <v>100</v>
      </c>
      <c r="Z200">
        <v>301.72000000000003</v>
      </c>
      <c r="AA200">
        <v>16</v>
      </c>
      <c r="AB200">
        <v>48.28</v>
      </c>
      <c r="AC200">
        <v>0</v>
      </c>
      <c r="AD200">
        <v>350</v>
      </c>
      <c r="AE200">
        <v>7193.74</v>
      </c>
      <c r="AF200">
        <v>8041</v>
      </c>
      <c r="AG200" t="s">
        <v>473</v>
      </c>
      <c r="AH200" t="s">
        <v>66</v>
      </c>
      <c r="AI200" t="s">
        <v>65</v>
      </c>
      <c r="AJ200" t="s">
        <v>66</v>
      </c>
      <c r="AK200" t="s">
        <v>66</v>
      </c>
      <c r="AL200" t="s">
        <v>66</v>
      </c>
      <c r="AM200" s="2" t="str">
        <f>HYPERLINK("https://transparencia.cidesi.mx/comprobantes/2021/CQ2100794 /C7F-1391518485062_AME880912189_PDF.pdf")</f>
        <v>https://transparencia.cidesi.mx/comprobantes/2021/CQ2100794 /C7F-1391518485062_AME880912189_PDF.pdf</v>
      </c>
      <c r="AN200" t="str">
        <f>HYPERLINK("https://transparencia.cidesi.mx/comprobantes/2021/CQ2100794 /C7F-1391518485062_AME880912189_PDF.pdf")</f>
        <v>https://transparencia.cidesi.mx/comprobantes/2021/CQ2100794 /C7F-1391518485062_AME880912189_PDF.pdf</v>
      </c>
      <c r="AO200" t="str">
        <f>HYPERLINK("https://transparencia.cidesi.mx/comprobantes/2021/CQ2100794 /C7F_1391518485062_AME880912189_XML.xml")</f>
        <v>https://transparencia.cidesi.mx/comprobantes/2021/CQ2100794 /C7F_1391518485062_AME880912189_XML.xml</v>
      </c>
      <c r="AP200" t="s">
        <v>529</v>
      </c>
      <c r="AQ200" t="s">
        <v>530</v>
      </c>
      <c r="AR200" t="s">
        <v>531</v>
      </c>
      <c r="AS200" t="s">
        <v>532</v>
      </c>
      <c r="AT200" s="1">
        <v>44454</v>
      </c>
      <c r="AU200" t="s">
        <v>73</v>
      </c>
    </row>
    <row r="201" spans="1:47" x14ac:dyDescent="0.3">
      <c r="A201" t="s">
        <v>455</v>
      </c>
      <c r="B201" t="s">
        <v>48</v>
      </c>
      <c r="C201" t="s">
        <v>49</v>
      </c>
      <c r="D201">
        <v>459</v>
      </c>
      <c r="E201" t="s">
        <v>456</v>
      </c>
      <c r="F201" t="s">
        <v>457</v>
      </c>
      <c r="G201" t="s">
        <v>351</v>
      </c>
      <c r="H201" t="s">
        <v>527</v>
      </c>
      <c r="I201" t="s">
        <v>54</v>
      </c>
      <c r="J201" t="s">
        <v>524</v>
      </c>
      <c r="K201" t="s">
        <v>56</v>
      </c>
      <c r="L201">
        <v>101019</v>
      </c>
      <c r="M201" t="s">
        <v>493</v>
      </c>
      <c r="N201">
        <v>0</v>
      </c>
      <c r="O201" t="s">
        <v>58</v>
      </c>
      <c r="P201" t="s">
        <v>59</v>
      </c>
      <c r="Q201" t="s">
        <v>460</v>
      </c>
      <c r="R201" t="s">
        <v>524</v>
      </c>
      <c r="S201" s="1">
        <v>44446</v>
      </c>
      <c r="T201" s="1">
        <v>44449</v>
      </c>
      <c r="U201">
        <v>37104</v>
      </c>
      <c r="V201" t="s">
        <v>471</v>
      </c>
      <c r="W201" t="s">
        <v>528</v>
      </c>
      <c r="X201" s="1">
        <v>44452</v>
      </c>
      <c r="Y201" t="s">
        <v>100</v>
      </c>
      <c r="Z201">
        <v>582.69000000000005</v>
      </c>
      <c r="AA201">
        <v>16</v>
      </c>
      <c r="AB201">
        <v>787.31</v>
      </c>
      <c r="AC201">
        <v>0</v>
      </c>
      <c r="AD201">
        <v>1370</v>
      </c>
      <c r="AE201">
        <v>7193.74</v>
      </c>
      <c r="AF201">
        <v>8041</v>
      </c>
      <c r="AG201" t="s">
        <v>473</v>
      </c>
      <c r="AH201" t="s">
        <v>66</v>
      </c>
      <c r="AI201" t="s">
        <v>65</v>
      </c>
      <c r="AJ201" t="s">
        <v>66</v>
      </c>
      <c r="AK201" t="s">
        <v>66</v>
      </c>
      <c r="AL201" t="s">
        <v>66</v>
      </c>
      <c r="AM201" s="2" t="str">
        <f>HYPERLINK("https://transparencia.cidesi.mx/comprobantes/2021/CQ2100794 /C8F-1392124100041_AME880912189_PDF.pdf")</f>
        <v>https://transparencia.cidesi.mx/comprobantes/2021/CQ2100794 /C8F-1392124100041_AME880912189_PDF.pdf</v>
      </c>
      <c r="AN201" t="str">
        <f>HYPERLINK("https://transparencia.cidesi.mx/comprobantes/2021/CQ2100794 /C8F-1392124100041_AME880912189_PDF.pdf")</f>
        <v>https://transparencia.cidesi.mx/comprobantes/2021/CQ2100794 /C8F-1392124100041_AME880912189_PDF.pdf</v>
      </c>
      <c r="AO201" t="str">
        <f>HYPERLINK("https://transparencia.cidesi.mx/comprobantes/2021/CQ2100794 /C8F-1392124100041_AME880912189_XML.xml")</f>
        <v>https://transparencia.cidesi.mx/comprobantes/2021/CQ2100794 /C8F-1392124100041_AME880912189_XML.xml</v>
      </c>
      <c r="AP201" t="s">
        <v>529</v>
      </c>
      <c r="AQ201" t="s">
        <v>530</v>
      </c>
      <c r="AR201" t="s">
        <v>531</v>
      </c>
      <c r="AS201" t="s">
        <v>532</v>
      </c>
      <c r="AT201" s="1">
        <v>44454</v>
      </c>
      <c r="AU201" t="s">
        <v>73</v>
      </c>
    </row>
    <row r="202" spans="1:47" x14ac:dyDescent="0.3">
      <c r="A202" t="s">
        <v>47</v>
      </c>
      <c r="B202" t="s">
        <v>48</v>
      </c>
      <c r="C202" t="s">
        <v>392</v>
      </c>
      <c r="D202">
        <v>483</v>
      </c>
      <c r="E202" t="s">
        <v>536</v>
      </c>
      <c r="F202" t="s">
        <v>537</v>
      </c>
      <c r="G202" t="s">
        <v>538</v>
      </c>
      <c r="H202" t="s">
        <v>539</v>
      </c>
      <c r="I202" t="s">
        <v>54</v>
      </c>
      <c r="J202" t="s">
        <v>540</v>
      </c>
      <c r="K202" t="s">
        <v>56</v>
      </c>
      <c r="L202">
        <v>0</v>
      </c>
      <c r="M202" t="s">
        <v>73</v>
      </c>
      <c r="N202">
        <v>0</v>
      </c>
      <c r="O202" t="s">
        <v>58</v>
      </c>
      <c r="P202" t="s">
        <v>59</v>
      </c>
      <c r="Q202" t="s">
        <v>60</v>
      </c>
      <c r="R202" t="s">
        <v>540</v>
      </c>
      <c r="S202" s="1">
        <v>44398</v>
      </c>
      <c r="T202" s="1">
        <v>44398</v>
      </c>
      <c r="U202">
        <v>37501</v>
      </c>
      <c r="V202" t="s">
        <v>61</v>
      </c>
      <c r="W202" t="s">
        <v>541</v>
      </c>
      <c r="X202" s="1">
        <v>44412</v>
      </c>
      <c r="Y202" t="s">
        <v>63</v>
      </c>
      <c r="Z202">
        <v>87.93</v>
      </c>
      <c r="AA202">
        <v>16</v>
      </c>
      <c r="AB202">
        <v>14.07</v>
      </c>
      <c r="AC202">
        <v>0</v>
      </c>
      <c r="AD202">
        <v>102</v>
      </c>
      <c r="AE202">
        <v>193.5</v>
      </c>
      <c r="AF202">
        <v>545</v>
      </c>
      <c r="AG202" t="s">
        <v>542</v>
      </c>
      <c r="AH202" t="s">
        <v>65</v>
      </c>
      <c r="AI202" t="s">
        <v>65</v>
      </c>
      <c r="AJ202" t="s">
        <v>66</v>
      </c>
      <c r="AK202" t="s">
        <v>66</v>
      </c>
      <c r="AL202" t="s">
        <v>66</v>
      </c>
      <c r="AM202" s="2" t="str">
        <f>HYPERLINK("https://transparencia.cidesi.mx/comprobantes/2021/CQ2100601 /C1GGG030729MR0FAA15561.pdf")</f>
        <v>https://transparencia.cidesi.mx/comprobantes/2021/CQ2100601 /C1GGG030729MR0FAA15561.pdf</v>
      </c>
      <c r="AN202" t="str">
        <f>HYPERLINK("https://transparencia.cidesi.mx/comprobantes/2021/CQ2100601 /C1GGG030729MR0FAA15561.pdf")</f>
        <v>https://transparencia.cidesi.mx/comprobantes/2021/CQ2100601 /C1GGG030729MR0FAA15561.pdf</v>
      </c>
      <c r="AO202" t="str">
        <f>HYPERLINK("https://transparencia.cidesi.mx/comprobantes/2021/CQ2100601 /C1GGG030729MR0FAA15561.xml")</f>
        <v>https://transparencia.cidesi.mx/comprobantes/2021/CQ2100601 /C1GGG030729MR0FAA15561.xml</v>
      </c>
      <c r="AP202" t="s">
        <v>543</v>
      </c>
      <c r="AQ202" t="s">
        <v>544</v>
      </c>
      <c r="AR202" t="s">
        <v>544</v>
      </c>
      <c r="AS202" t="s">
        <v>544</v>
      </c>
      <c r="AT202" s="1">
        <v>44414</v>
      </c>
      <c r="AU202" s="1">
        <v>44420</v>
      </c>
    </row>
    <row r="203" spans="1:47" x14ac:dyDescent="0.3">
      <c r="A203" t="s">
        <v>47</v>
      </c>
      <c r="B203" t="s">
        <v>48</v>
      </c>
      <c r="C203" t="s">
        <v>392</v>
      </c>
      <c r="D203">
        <v>483</v>
      </c>
      <c r="E203" t="s">
        <v>536</v>
      </c>
      <c r="F203" t="s">
        <v>537</v>
      </c>
      <c r="G203" t="s">
        <v>538</v>
      </c>
      <c r="H203" t="s">
        <v>539</v>
      </c>
      <c r="I203" t="s">
        <v>54</v>
      </c>
      <c r="J203" t="s">
        <v>540</v>
      </c>
      <c r="K203" t="s">
        <v>56</v>
      </c>
      <c r="L203">
        <v>0</v>
      </c>
      <c r="M203" t="s">
        <v>73</v>
      </c>
      <c r="N203">
        <v>0</v>
      </c>
      <c r="O203" t="s">
        <v>58</v>
      </c>
      <c r="P203" t="s">
        <v>59</v>
      </c>
      <c r="Q203" t="s">
        <v>60</v>
      </c>
      <c r="R203" t="s">
        <v>540</v>
      </c>
      <c r="S203" s="1">
        <v>44398</v>
      </c>
      <c r="T203" s="1">
        <v>44398</v>
      </c>
      <c r="U203">
        <v>37501</v>
      </c>
      <c r="V203" t="s">
        <v>61</v>
      </c>
      <c r="W203" t="s">
        <v>541</v>
      </c>
      <c r="X203" s="1">
        <v>44412</v>
      </c>
      <c r="Y203" t="s">
        <v>63</v>
      </c>
      <c r="Z203">
        <v>91.4</v>
      </c>
      <c r="AA203">
        <v>16</v>
      </c>
      <c r="AB203">
        <v>0.1</v>
      </c>
      <c r="AC203">
        <v>0</v>
      </c>
      <c r="AD203">
        <v>91.5</v>
      </c>
      <c r="AE203">
        <v>193.5</v>
      </c>
      <c r="AF203">
        <v>545</v>
      </c>
      <c r="AG203" t="s">
        <v>542</v>
      </c>
      <c r="AH203" t="s">
        <v>65</v>
      </c>
      <c r="AI203" t="s">
        <v>65</v>
      </c>
      <c r="AJ203" t="s">
        <v>66</v>
      </c>
      <c r="AK203" t="s">
        <v>66</v>
      </c>
      <c r="AL203" t="s">
        <v>66</v>
      </c>
      <c r="AM203" s="2" t="str">
        <f>HYPERLINK("https://transparencia.cidesi.mx/comprobantes/2021/CQ2100601 /C2FACTURA_1627159596543_338193693.pdf")</f>
        <v>https://transparencia.cidesi.mx/comprobantes/2021/CQ2100601 /C2FACTURA_1627159596543_338193693.pdf</v>
      </c>
      <c r="AN203" t="str">
        <f>HYPERLINK("https://transparencia.cidesi.mx/comprobantes/2021/CQ2100601 /C2FACTURA_1627159596543_338193693.pdf")</f>
        <v>https://transparencia.cidesi.mx/comprobantes/2021/CQ2100601 /C2FACTURA_1627159596543_338193693.pdf</v>
      </c>
      <c r="AO203" t="str">
        <f>HYPERLINK("https://transparencia.cidesi.mx/comprobantes/2021/CQ2100601 /C2FACTURA_1627159596543_338193693.xml")</f>
        <v>https://transparencia.cidesi.mx/comprobantes/2021/CQ2100601 /C2FACTURA_1627159596543_338193693.xml</v>
      </c>
      <c r="AP203" t="s">
        <v>543</v>
      </c>
      <c r="AQ203" t="s">
        <v>544</v>
      </c>
      <c r="AR203" t="s">
        <v>544</v>
      </c>
      <c r="AS203" t="s">
        <v>544</v>
      </c>
      <c r="AT203" s="1">
        <v>44414</v>
      </c>
      <c r="AU203" s="1">
        <v>44420</v>
      </c>
    </row>
    <row r="204" spans="1:47" x14ac:dyDescent="0.3">
      <c r="A204" t="s">
        <v>47</v>
      </c>
      <c r="B204" t="s">
        <v>48</v>
      </c>
      <c r="C204" t="s">
        <v>392</v>
      </c>
      <c r="D204">
        <v>483</v>
      </c>
      <c r="E204" t="s">
        <v>536</v>
      </c>
      <c r="F204" t="s">
        <v>537</v>
      </c>
      <c r="G204" t="s">
        <v>538</v>
      </c>
      <c r="H204" t="s">
        <v>545</v>
      </c>
      <c r="I204" t="s">
        <v>54</v>
      </c>
      <c r="J204" t="s">
        <v>546</v>
      </c>
      <c r="K204" t="s">
        <v>56</v>
      </c>
      <c r="L204">
        <v>0</v>
      </c>
      <c r="M204" t="s">
        <v>73</v>
      </c>
      <c r="N204">
        <v>0</v>
      </c>
      <c r="O204" t="s">
        <v>58</v>
      </c>
      <c r="P204" t="s">
        <v>59</v>
      </c>
      <c r="Q204" t="s">
        <v>60</v>
      </c>
      <c r="R204" t="s">
        <v>546</v>
      </c>
      <c r="S204" s="1">
        <v>44399</v>
      </c>
      <c r="T204" s="1">
        <v>44400</v>
      </c>
      <c r="U204">
        <v>37501</v>
      </c>
      <c r="V204" t="s">
        <v>104</v>
      </c>
      <c r="W204" t="s">
        <v>547</v>
      </c>
      <c r="X204" s="1">
        <v>44410</v>
      </c>
      <c r="Y204" t="s">
        <v>63</v>
      </c>
      <c r="Z204">
        <v>67.7</v>
      </c>
      <c r="AA204">
        <v>16</v>
      </c>
      <c r="AB204">
        <v>10.83</v>
      </c>
      <c r="AC204">
        <v>0</v>
      </c>
      <c r="AD204">
        <v>78.53</v>
      </c>
      <c r="AE204">
        <v>981.53</v>
      </c>
      <c r="AF204">
        <v>1636</v>
      </c>
      <c r="AG204" t="s">
        <v>548</v>
      </c>
      <c r="AH204" t="s">
        <v>65</v>
      </c>
      <c r="AI204" t="s">
        <v>65</v>
      </c>
      <c r="AJ204" t="s">
        <v>66</v>
      </c>
      <c r="AK204" t="s">
        <v>66</v>
      </c>
      <c r="AL204" t="s">
        <v>66</v>
      </c>
      <c r="AM204" s="2" t="str">
        <f>HYPERLINK("https://transparencia.cidesi.mx/comprobantes/2021/CQ2100579 /C2FHO121005EFA-23-07-2021000330765-S1XSUR155600.pdf")</f>
        <v>https://transparencia.cidesi.mx/comprobantes/2021/CQ2100579 /C2FHO121005EFA-23-07-2021000330765-S1XSUR155600.pdf</v>
      </c>
      <c r="AN204" t="str">
        <f>HYPERLINK("https://transparencia.cidesi.mx/comprobantes/2021/CQ2100579 /C2FHO121005EFA-23-07-2021000330765-S1XSUR155600.pdf")</f>
        <v>https://transparencia.cidesi.mx/comprobantes/2021/CQ2100579 /C2FHO121005EFA-23-07-2021000330765-S1XSUR155600.pdf</v>
      </c>
      <c r="AO204" t="str">
        <f>HYPERLINK("https://transparencia.cidesi.mx/comprobantes/2021/CQ2100579 /C2FHO121005EFA-23-07-2021000330765-S1XSUR155600.xml")</f>
        <v>https://transparencia.cidesi.mx/comprobantes/2021/CQ2100579 /C2FHO121005EFA-23-07-2021000330765-S1XSUR155600.xml</v>
      </c>
      <c r="AP204" t="s">
        <v>549</v>
      </c>
      <c r="AQ204" t="s">
        <v>550</v>
      </c>
      <c r="AR204" t="s">
        <v>551</v>
      </c>
      <c r="AS204" t="s">
        <v>550</v>
      </c>
      <c r="AT204" s="1">
        <v>44410</v>
      </c>
      <c r="AU204" s="1">
        <v>44424</v>
      </c>
    </row>
    <row r="205" spans="1:47" x14ac:dyDescent="0.3">
      <c r="A205" t="s">
        <v>47</v>
      </c>
      <c r="B205" t="s">
        <v>48</v>
      </c>
      <c r="C205" t="s">
        <v>392</v>
      </c>
      <c r="D205">
        <v>483</v>
      </c>
      <c r="E205" t="s">
        <v>536</v>
      </c>
      <c r="F205" t="s">
        <v>537</v>
      </c>
      <c r="G205" t="s">
        <v>538</v>
      </c>
      <c r="H205" t="s">
        <v>545</v>
      </c>
      <c r="I205" t="s">
        <v>54</v>
      </c>
      <c r="J205" t="s">
        <v>546</v>
      </c>
      <c r="K205" t="s">
        <v>56</v>
      </c>
      <c r="L205">
        <v>0</v>
      </c>
      <c r="M205" t="s">
        <v>73</v>
      </c>
      <c r="N205">
        <v>0</v>
      </c>
      <c r="O205" t="s">
        <v>58</v>
      </c>
      <c r="P205" t="s">
        <v>59</v>
      </c>
      <c r="Q205" t="s">
        <v>60</v>
      </c>
      <c r="R205" t="s">
        <v>546</v>
      </c>
      <c r="S205" s="1">
        <v>44399</v>
      </c>
      <c r="T205" s="1">
        <v>44400</v>
      </c>
      <c r="U205">
        <v>37501</v>
      </c>
      <c r="V205" t="s">
        <v>61</v>
      </c>
      <c r="W205" t="s">
        <v>547</v>
      </c>
      <c r="X205" s="1">
        <v>44410</v>
      </c>
      <c r="Y205" t="s">
        <v>63</v>
      </c>
      <c r="Z205">
        <v>321.55</v>
      </c>
      <c r="AA205">
        <v>16</v>
      </c>
      <c r="AB205">
        <v>51.45</v>
      </c>
      <c r="AC205">
        <v>0</v>
      </c>
      <c r="AD205">
        <v>373</v>
      </c>
      <c r="AE205">
        <v>981.53</v>
      </c>
      <c r="AF205">
        <v>1636</v>
      </c>
      <c r="AG205" t="s">
        <v>542</v>
      </c>
      <c r="AH205" t="s">
        <v>65</v>
      </c>
      <c r="AI205" t="s">
        <v>65</v>
      </c>
      <c r="AJ205" t="s">
        <v>66</v>
      </c>
      <c r="AK205" t="s">
        <v>66</v>
      </c>
      <c r="AL205" t="s">
        <v>66</v>
      </c>
      <c r="AM205" s="2" t="str">
        <f>HYPERLINK("https://transparencia.cidesi.mx/comprobantes/2021/CQ2100579 /C37a4bda76-77f6-4d60-a4fd-9b029cb56d4e.pdf")</f>
        <v>https://transparencia.cidesi.mx/comprobantes/2021/CQ2100579 /C37a4bda76-77f6-4d60-a4fd-9b029cb56d4e.pdf</v>
      </c>
      <c r="AN205" t="str">
        <f>HYPERLINK("https://transparencia.cidesi.mx/comprobantes/2021/CQ2100579 /C37a4bda76-77f6-4d60-a4fd-9b029cb56d4e.pdf")</f>
        <v>https://transparencia.cidesi.mx/comprobantes/2021/CQ2100579 /C37a4bda76-77f6-4d60-a4fd-9b029cb56d4e.pdf</v>
      </c>
      <c r="AO205" t="str">
        <f>HYPERLINK("https://transparencia.cidesi.mx/comprobantes/2021/CQ2100579 /C37a4bda76-77f6-4d60-a4fd-9b029cb56d4e.xml")</f>
        <v>https://transparencia.cidesi.mx/comprobantes/2021/CQ2100579 /C37a4bda76-77f6-4d60-a4fd-9b029cb56d4e.xml</v>
      </c>
      <c r="AP205" t="s">
        <v>549</v>
      </c>
      <c r="AQ205" t="s">
        <v>550</v>
      </c>
      <c r="AR205" t="s">
        <v>551</v>
      </c>
      <c r="AS205" t="s">
        <v>550</v>
      </c>
      <c r="AT205" s="1">
        <v>44410</v>
      </c>
      <c r="AU205" s="1">
        <v>44424</v>
      </c>
    </row>
    <row r="206" spans="1:47" x14ac:dyDescent="0.3">
      <c r="A206" t="s">
        <v>47</v>
      </c>
      <c r="B206" t="s">
        <v>48</v>
      </c>
      <c r="C206" t="s">
        <v>392</v>
      </c>
      <c r="D206">
        <v>483</v>
      </c>
      <c r="E206" t="s">
        <v>536</v>
      </c>
      <c r="F206" t="s">
        <v>537</v>
      </c>
      <c r="G206" t="s">
        <v>538</v>
      </c>
      <c r="H206" t="s">
        <v>545</v>
      </c>
      <c r="I206" t="s">
        <v>54</v>
      </c>
      <c r="J206" t="s">
        <v>546</v>
      </c>
      <c r="K206" t="s">
        <v>56</v>
      </c>
      <c r="L206">
        <v>0</v>
      </c>
      <c r="M206" t="s">
        <v>73</v>
      </c>
      <c r="N206">
        <v>0</v>
      </c>
      <c r="O206" t="s">
        <v>58</v>
      </c>
      <c r="P206" t="s">
        <v>59</v>
      </c>
      <c r="Q206" t="s">
        <v>60</v>
      </c>
      <c r="R206" t="s">
        <v>546</v>
      </c>
      <c r="S206" s="1">
        <v>44399</v>
      </c>
      <c r="T206" s="1">
        <v>44400</v>
      </c>
      <c r="U206">
        <v>37501</v>
      </c>
      <c r="V206" t="s">
        <v>104</v>
      </c>
      <c r="W206" t="s">
        <v>547</v>
      </c>
      <c r="X206" s="1">
        <v>44410</v>
      </c>
      <c r="Y206" t="s">
        <v>63</v>
      </c>
      <c r="Z206">
        <v>459.04</v>
      </c>
      <c r="AA206">
        <v>16</v>
      </c>
      <c r="AB206">
        <v>70.959999999999994</v>
      </c>
      <c r="AC206">
        <v>0</v>
      </c>
      <c r="AD206">
        <v>530</v>
      </c>
      <c r="AE206">
        <v>981.53</v>
      </c>
      <c r="AF206">
        <v>1636</v>
      </c>
      <c r="AG206" t="s">
        <v>548</v>
      </c>
      <c r="AH206" t="s">
        <v>65</v>
      </c>
      <c r="AI206" t="s">
        <v>65</v>
      </c>
      <c r="AJ206" t="s">
        <v>66</v>
      </c>
      <c r="AK206" t="s">
        <v>66</v>
      </c>
      <c r="AL206" t="s">
        <v>66</v>
      </c>
      <c r="AM206" s="2" t="str">
        <f>HYPERLINK("https://transparencia.cidesi.mx/comprobantes/2021/CQ2100579 /C4FFX121005C6A-23-07-2021034144092-F1XSUR155609.pdf")</f>
        <v>https://transparencia.cidesi.mx/comprobantes/2021/CQ2100579 /C4FFX121005C6A-23-07-2021034144092-F1XSUR155609.pdf</v>
      </c>
      <c r="AN206" t="str">
        <f>HYPERLINK("https://transparencia.cidesi.mx/comprobantes/2021/CQ2100579 /C4FFX121005C6A-23-07-2021034144092-F1XSUR155609.pdf")</f>
        <v>https://transparencia.cidesi.mx/comprobantes/2021/CQ2100579 /C4FFX121005C6A-23-07-2021034144092-F1XSUR155609.pdf</v>
      </c>
      <c r="AO206" t="str">
        <f>HYPERLINK("https://transparencia.cidesi.mx/comprobantes/2021/CQ2100579 /C4FFX121005C6A-23-07-2021034144092-F1XSUR155609.xml")</f>
        <v>https://transparencia.cidesi.mx/comprobantes/2021/CQ2100579 /C4FFX121005C6A-23-07-2021034144092-F1XSUR155609.xml</v>
      </c>
      <c r="AP206" t="s">
        <v>549</v>
      </c>
      <c r="AQ206" t="s">
        <v>550</v>
      </c>
      <c r="AR206" t="s">
        <v>551</v>
      </c>
      <c r="AS206" t="s">
        <v>550</v>
      </c>
      <c r="AT206" s="1">
        <v>44410</v>
      </c>
      <c r="AU206" s="1">
        <v>44424</v>
      </c>
    </row>
    <row r="207" spans="1:47" x14ac:dyDescent="0.3">
      <c r="A207" t="s">
        <v>47</v>
      </c>
      <c r="B207" t="s">
        <v>48</v>
      </c>
      <c r="C207" t="s">
        <v>392</v>
      </c>
      <c r="D207">
        <v>483</v>
      </c>
      <c r="E207" t="s">
        <v>536</v>
      </c>
      <c r="F207" t="s">
        <v>537</v>
      </c>
      <c r="G207" t="s">
        <v>538</v>
      </c>
      <c r="H207" t="s">
        <v>552</v>
      </c>
      <c r="I207" t="s">
        <v>54</v>
      </c>
      <c r="J207" t="s">
        <v>553</v>
      </c>
      <c r="K207" t="s">
        <v>56</v>
      </c>
      <c r="L207">
        <v>0</v>
      </c>
      <c r="M207" t="s">
        <v>73</v>
      </c>
      <c r="N207">
        <v>0</v>
      </c>
      <c r="O207" t="s">
        <v>58</v>
      </c>
      <c r="P207" t="s">
        <v>59</v>
      </c>
      <c r="Q207" t="s">
        <v>60</v>
      </c>
      <c r="R207" t="s">
        <v>553</v>
      </c>
      <c r="S207" s="1">
        <v>44400</v>
      </c>
      <c r="T207" s="1">
        <v>44401</v>
      </c>
      <c r="U207">
        <v>37501</v>
      </c>
      <c r="V207" t="s">
        <v>61</v>
      </c>
      <c r="W207" t="s">
        <v>554</v>
      </c>
      <c r="X207" s="1">
        <v>44410</v>
      </c>
      <c r="Y207" t="s">
        <v>63</v>
      </c>
      <c r="Z207">
        <v>0.01</v>
      </c>
      <c r="AA207">
        <v>0</v>
      </c>
      <c r="AB207">
        <v>0</v>
      </c>
      <c r="AC207">
        <v>0</v>
      </c>
      <c r="AD207">
        <v>0.01</v>
      </c>
      <c r="AE207">
        <v>0.01</v>
      </c>
      <c r="AF207">
        <v>1636</v>
      </c>
      <c r="AG207" t="s">
        <v>542</v>
      </c>
      <c r="AH207" t="s">
        <v>66</v>
      </c>
      <c r="AI207" t="s">
        <v>66</v>
      </c>
      <c r="AJ207" t="s">
        <v>66</v>
      </c>
      <c r="AK207" t="s">
        <v>66</v>
      </c>
      <c r="AL207" t="s">
        <v>66</v>
      </c>
      <c r="AM207" s="2" t="s">
        <v>73</v>
      </c>
      <c r="AN207" t="s">
        <v>73</v>
      </c>
      <c r="AO207" t="s">
        <v>73</v>
      </c>
      <c r="AP207" t="s">
        <v>555</v>
      </c>
      <c r="AQ207" t="s">
        <v>555</v>
      </c>
      <c r="AR207" t="s">
        <v>555</v>
      </c>
      <c r="AS207" t="s">
        <v>555</v>
      </c>
      <c r="AT207" s="1">
        <v>44410</v>
      </c>
      <c r="AU207" s="1">
        <v>44420</v>
      </c>
    </row>
    <row r="208" spans="1:47" x14ac:dyDescent="0.3">
      <c r="A208" t="s">
        <v>47</v>
      </c>
      <c r="B208" t="s">
        <v>48</v>
      </c>
      <c r="C208" t="s">
        <v>392</v>
      </c>
      <c r="D208">
        <v>483</v>
      </c>
      <c r="E208" t="s">
        <v>536</v>
      </c>
      <c r="F208" t="s">
        <v>537</v>
      </c>
      <c r="G208" t="s">
        <v>538</v>
      </c>
      <c r="H208" t="s">
        <v>556</v>
      </c>
      <c r="I208" t="s">
        <v>54</v>
      </c>
      <c r="J208" t="s">
        <v>557</v>
      </c>
      <c r="K208" t="s">
        <v>56</v>
      </c>
      <c r="L208">
        <v>0</v>
      </c>
      <c r="M208" t="s">
        <v>73</v>
      </c>
      <c r="N208">
        <v>0</v>
      </c>
      <c r="O208" t="s">
        <v>58</v>
      </c>
      <c r="P208" t="s">
        <v>59</v>
      </c>
      <c r="Q208" t="s">
        <v>60</v>
      </c>
      <c r="R208" t="s">
        <v>557</v>
      </c>
      <c r="S208" s="1">
        <v>44403</v>
      </c>
      <c r="T208" s="1">
        <v>44406</v>
      </c>
      <c r="U208">
        <v>37501</v>
      </c>
      <c r="V208" t="s">
        <v>61</v>
      </c>
      <c r="W208" t="s">
        <v>558</v>
      </c>
      <c r="X208" s="1">
        <v>44410</v>
      </c>
      <c r="Y208" t="s">
        <v>63</v>
      </c>
      <c r="Z208">
        <v>226.29</v>
      </c>
      <c r="AA208">
        <v>16</v>
      </c>
      <c r="AB208">
        <v>36.21</v>
      </c>
      <c r="AC208">
        <v>0</v>
      </c>
      <c r="AD208">
        <v>262.5</v>
      </c>
      <c r="AE208">
        <v>2401.5700000000002</v>
      </c>
      <c r="AF208">
        <v>3818</v>
      </c>
      <c r="AG208" t="s">
        <v>542</v>
      </c>
      <c r="AH208" t="s">
        <v>65</v>
      </c>
      <c r="AI208" t="s">
        <v>65</v>
      </c>
      <c r="AJ208" t="s">
        <v>66</v>
      </c>
      <c r="AK208" t="s">
        <v>66</v>
      </c>
      <c r="AL208" t="s">
        <v>66</v>
      </c>
      <c r="AM208" s="2" t="str">
        <f>HYPERLINK("https://transparencia.cidesi.mx/comprobantes/2021/CQ2100587 /C1A1769.pdf")</f>
        <v>https://transparencia.cidesi.mx/comprobantes/2021/CQ2100587 /C1A1769.pdf</v>
      </c>
      <c r="AN208" t="str">
        <f>HYPERLINK("https://transparencia.cidesi.mx/comprobantes/2021/CQ2100587 /C1A1769.pdf")</f>
        <v>https://transparencia.cidesi.mx/comprobantes/2021/CQ2100587 /C1A1769.pdf</v>
      </c>
      <c r="AO208" t="str">
        <f>HYPERLINK("https://transparencia.cidesi.mx/comprobantes/2021/CQ2100587 /C1A1769.xml")</f>
        <v>https://transparencia.cidesi.mx/comprobantes/2021/CQ2100587 /C1A1769.xml</v>
      </c>
      <c r="AP208" t="s">
        <v>559</v>
      </c>
      <c r="AQ208" t="s">
        <v>559</v>
      </c>
      <c r="AR208" t="s">
        <v>559</v>
      </c>
      <c r="AS208" t="s">
        <v>559</v>
      </c>
      <c r="AT208" s="1">
        <v>44412</v>
      </c>
      <c r="AU208" s="1">
        <v>44420</v>
      </c>
    </row>
    <row r="209" spans="1:47" x14ac:dyDescent="0.3">
      <c r="A209" t="s">
        <v>47</v>
      </c>
      <c r="B209" t="s">
        <v>48</v>
      </c>
      <c r="C209" t="s">
        <v>392</v>
      </c>
      <c r="D209">
        <v>483</v>
      </c>
      <c r="E209" t="s">
        <v>536</v>
      </c>
      <c r="F209" t="s">
        <v>537</v>
      </c>
      <c r="G209" t="s">
        <v>538</v>
      </c>
      <c r="H209" t="s">
        <v>556</v>
      </c>
      <c r="I209" t="s">
        <v>54</v>
      </c>
      <c r="J209" t="s">
        <v>557</v>
      </c>
      <c r="K209" t="s">
        <v>56</v>
      </c>
      <c r="L209">
        <v>0</v>
      </c>
      <c r="M209" t="s">
        <v>73</v>
      </c>
      <c r="N209">
        <v>0</v>
      </c>
      <c r="O209" t="s">
        <v>58</v>
      </c>
      <c r="P209" t="s">
        <v>59</v>
      </c>
      <c r="Q209" t="s">
        <v>60</v>
      </c>
      <c r="R209" t="s">
        <v>557</v>
      </c>
      <c r="S209" s="1">
        <v>44403</v>
      </c>
      <c r="T209" s="1">
        <v>44406</v>
      </c>
      <c r="U209">
        <v>37501</v>
      </c>
      <c r="V209" t="s">
        <v>61</v>
      </c>
      <c r="W209" t="s">
        <v>558</v>
      </c>
      <c r="X209" s="1">
        <v>44410</v>
      </c>
      <c r="Y209" t="s">
        <v>63</v>
      </c>
      <c r="Z209">
        <v>561.21</v>
      </c>
      <c r="AA209">
        <v>16</v>
      </c>
      <c r="AB209">
        <v>89.79</v>
      </c>
      <c r="AC209">
        <v>0</v>
      </c>
      <c r="AD209">
        <v>651</v>
      </c>
      <c r="AE209">
        <v>2401.5700000000002</v>
      </c>
      <c r="AF209">
        <v>3818</v>
      </c>
      <c r="AG209" t="s">
        <v>542</v>
      </c>
      <c r="AH209" t="s">
        <v>65</v>
      </c>
      <c r="AI209" t="s">
        <v>65</v>
      </c>
      <c r="AJ209" t="s">
        <v>66</v>
      </c>
      <c r="AK209" t="s">
        <v>66</v>
      </c>
      <c r="AL209" t="s">
        <v>66</v>
      </c>
      <c r="AM209" s="2" t="str">
        <f>HYPERLINK("https://transparencia.cidesi.mx/comprobantes/2021/CQ2100587 /C2A1763.pdf")</f>
        <v>https://transparencia.cidesi.mx/comprobantes/2021/CQ2100587 /C2A1763.pdf</v>
      </c>
      <c r="AN209" t="str">
        <f>HYPERLINK("https://transparencia.cidesi.mx/comprobantes/2021/CQ2100587 /C2A1763.pdf")</f>
        <v>https://transparencia.cidesi.mx/comprobantes/2021/CQ2100587 /C2A1763.pdf</v>
      </c>
      <c r="AO209" t="str">
        <f>HYPERLINK("https://transparencia.cidesi.mx/comprobantes/2021/CQ2100587 /C2A1763.xml")</f>
        <v>https://transparencia.cidesi.mx/comprobantes/2021/CQ2100587 /C2A1763.xml</v>
      </c>
      <c r="AP209" t="s">
        <v>559</v>
      </c>
      <c r="AQ209" t="s">
        <v>559</v>
      </c>
      <c r="AR209" t="s">
        <v>559</v>
      </c>
      <c r="AS209" t="s">
        <v>559</v>
      </c>
      <c r="AT209" s="1">
        <v>44412</v>
      </c>
      <c r="AU209" s="1">
        <v>44420</v>
      </c>
    </row>
    <row r="210" spans="1:47" x14ac:dyDescent="0.3">
      <c r="A210" t="s">
        <v>47</v>
      </c>
      <c r="B210" t="s">
        <v>48</v>
      </c>
      <c r="C210" t="s">
        <v>392</v>
      </c>
      <c r="D210">
        <v>483</v>
      </c>
      <c r="E210" t="s">
        <v>536</v>
      </c>
      <c r="F210" t="s">
        <v>537</v>
      </c>
      <c r="G210" t="s">
        <v>538</v>
      </c>
      <c r="H210" t="s">
        <v>556</v>
      </c>
      <c r="I210" t="s">
        <v>54</v>
      </c>
      <c r="J210" t="s">
        <v>557</v>
      </c>
      <c r="K210" t="s">
        <v>56</v>
      </c>
      <c r="L210">
        <v>0</v>
      </c>
      <c r="M210" t="s">
        <v>73</v>
      </c>
      <c r="N210">
        <v>0</v>
      </c>
      <c r="O210" t="s">
        <v>58</v>
      </c>
      <c r="P210" t="s">
        <v>59</v>
      </c>
      <c r="Q210" t="s">
        <v>60</v>
      </c>
      <c r="R210" t="s">
        <v>557</v>
      </c>
      <c r="S210" s="1">
        <v>44403</v>
      </c>
      <c r="T210" s="1">
        <v>44406</v>
      </c>
      <c r="U210">
        <v>37501</v>
      </c>
      <c r="V210" t="s">
        <v>61</v>
      </c>
      <c r="W210" t="s">
        <v>558</v>
      </c>
      <c r="X210" s="1">
        <v>44410</v>
      </c>
      <c r="Y210" t="s">
        <v>63</v>
      </c>
      <c r="Z210">
        <v>337.93</v>
      </c>
      <c r="AA210">
        <v>16</v>
      </c>
      <c r="AB210">
        <v>54.04</v>
      </c>
      <c r="AC210">
        <v>0</v>
      </c>
      <c r="AD210">
        <v>391.97</v>
      </c>
      <c r="AE210">
        <v>2401.5700000000002</v>
      </c>
      <c r="AF210">
        <v>3818</v>
      </c>
      <c r="AG210" t="s">
        <v>542</v>
      </c>
      <c r="AH210" t="s">
        <v>65</v>
      </c>
      <c r="AI210" t="s">
        <v>65</v>
      </c>
      <c r="AJ210" t="s">
        <v>66</v>
      </c>
      <c r="AK210" t="s">
        <v>66</v>
      </c>
      <c r="AL210" t="s">
        <v>66</v>
      </c>
      <c r="AM210" s="2" t="str">
        <f>HYPERLINK("https://transparencia.cidesi.mx/comprobantes/2021/CQ2100587 /C369440325.pdf")</f>
        <v>https://transparencia.cidesi.mx/comprobantes/2021/CQ2100587 /C369440325.pdf</v>
      </c>
      <c r="AN210" t="str">
        <f>HYPERLINK("https://transparencia.cidesi.mx/comprobantes/2021/CQ2100587 /C369440325.pdf")</f>
        <v>https://transparencia.cidesi.mx/comprobantes/2021/CQ2100587 /C369440325.pdf</v>
      </c>
      <c r="AO210" t="str">
        <f>HYPERLINK("https://transparencia.cidesi.mx/comprobantes/2021/CQ2100587 /C369440325.xml")</f>
        <v>https://transparencia.cidesi.mx/comprobantes/2021/CQ2100587 /C369440325.xml</v>
      </c>
      <c r="AP210" t="s">
        <v>559</v>
      </c>
      <c r="AQ210" t="s">
        <v>559</v>
      </c>
      <c r="AR210" t="s">
        <v>559</v>
      </c>
      <c r="AS210" t="s">
        <v>559</v>
      </c>
      <c r="AT210" s="1">
        <v>44412</v>
      </c>
      <c r="AU210" s="1">
        <v>44420</v>
      </c>
    </row>
    <row r="211" spans="1:47" x14ac:dyDescent="0.3">
      <c r="A211" t="s">
        <v>47</v>
      </c>
      <c r="B211" t="s">
        <v>48</v>
      </c>
      <c r="C211" t="s">
        <v>392</v>
      </c>
      <c r="D211">
        <v>483</v>
      </c>
      <c r="E211" t="s">
        <v>536</v>
      </c>
      <c r="F211" t="s">
        <v>537</v>
      </c>
      <c r="G211" t="s">
        <v>538</v>
      </c>
      <c r="H211" t="s">
        <v>556</v>
      </c>
      <c r="I211" t="s">
        <v>54</v>
      </c>
      <c r="J211" t="s">
        <v>557</v>
      </c>
      <c r="K211" t="s">
        <v>56</v>
      </c>
      <c r="L211">
        <v>0</v>
      </c>
      <c r="M211" t="s">
        <v>73</v>
      </c>
      <c r="N211">
        <v>0</v>
      </c>
      <c r="O211" t="s">
        <v>58</v>
      </c>
      <c r="P211" t="s">
        <v>59</v>
      </c>
      <c r="Q211" t="s">
        <v>60</v>
      </c>
      <c r="R211" t="s">
        <v>557</v>
      </c>
      <c r="S211" s="1">
        <v>44403</v>
      </c>
      <c r="T211" s="1">
        <v>44406</v>
      </c>
      <c r="U211">
        <v>37501</v>
      </c>
      <c r="V211" t="s">
        <v>104</v>
      </c>
      <c r="W211" t="s">
        <v>558</v>
      </c>
      <c r="X211" s="1">
        <v>44410</v>
      </c>
      <c r="Y211" t="s">
        <v>63</v>
      </c>
      <c r="Z211">
        <v>949.34</v>
      </c>
      <c r="AA211">
        <v>16</v>
      </c>
      <c r="AB211">
        <v>146.76</v>
      </c>
      <c r="AC211">
        <v>0</v>
      </c>
      <c r="AD211">
        <v>1096.0999999999999</v>
      </c>
      <c r="AE211">
        <v>2401.5700000000002</v>
      </c>
      <c r="AF211">
        <v>3818</v>
      </c>
      <c r="AG211" t="s">
        <v>548</v>
      </c>
      <c r="AH211" t="s">
        <v>65</v>
      </c>
      <c r="AI211" t="s">
        <v>65</v>
      </c>
      <c r="AJ211" t="s">
        <v>66</v>
      </c>
      <c r="AK211" t="s">
        <v>66</v>
      </c>
      <c r="AL211" t="s">
        <v>66</v>
      </c>
      <c r="AM211" s="2" t="str">
        <f>HYPERLINK("https://transparencia.cidesi.mx/comprobantes/2021/CQ2100587 /C4FFX121005C6A-27-07-2021080053667-F1XSUR155749.pdf")</f>
        <v>https://transparencia.cidesi.mx/comprobantes/2021/CQ2100587 /C4FFX121005C6A-27-07-2021080053667-F1XSUR155749.pdf</v>
      </c>
      <c r="AN211" t="str">
        <f>HYPERLINK("https://transparencia.cidesi.mx/comprobantes/2021/CQ2100587 /C4FFX121005C6A-27-07-2021080053667-F1XSUR155749.pdf")</f>
        <v>https://transparencia.cidesi.mx/comprobantes/2021/CQ2100587 /C4FFX121005C6A-27-07-2021080053667-F1XSUR155749.pdf</v>
      </c>
      <c r="AO211" t="str">
        <f>HYPERLINK("https://transparencia.cidesi.mx/comprobantes/2021/CQ2100587 /C4FFX121005C6A-27-07-2021080053667-F1XSUR155749.xml")</f>
        <v>https://transparencia.cidesi.mx/comprobantes/2021/CQ2100587 /C4FFX121005C6A-27-07-2021080053667-F1XSUR155749.xml</v>
      </c>
      <c r="AP211" t="s">
        <v>559</v>
      </c>
      <c r="AQ211" t="s">
        <v>559</v>
      </c>
      <c r="AR211" t="s">
        <v>559</v>
      </c>
      <c r="AS211" t="s">
        <v>559</v>
      </c>
      <c r="AT211" s="1">
        <v>44412</v>
      </c>
      <c r="AU211" s="1">
        <v>44420</v>
      </c>
    </row>
    <row r="212" spans="1:47" x14ac:dyDescent="0.3">
      <c r="A212" t="s">
        <v>47</v>
      </c>
      <c r="B212" t="s">
        <v>48</v>
      </c>
      <c r="C212" t="s">
        <v>392</v>
      </c>
      <c r="D212">
        <v>483</v>
      </c>
      <c r="E212" t="s">
        <v>536</v>
      </c>
      <c r="F212" t="s">
        <v>537</v>
      </c>
      <c r="G212" t="s">
        <v>538</v>
      </c>
      <c r="H212" t="s">
        <v>560</v>
      </c>
      <c r="I212" t="s">
        <v>54</v>
      </c>
      <c r="J212" t="s">
        <v>561</v>
      </c>
      <c r="K212" t="s">
        <v>56</v>
      </c>
      <c r="L212">
        <v>0</v>
      </c>
      <c r="M212" t="s">
        <v>73</v>
      </c>
      <c r="N212">
        <v>0</v>
      </c>
      <c r="O212" t="s">
        <v>58</v>
      </c>
      <c r="P212" t="s">
        <v>59</v>
      </c>
      <c r="Q212" t="s">
        <v>274</v>
      </c>
      <c r="R212" t="s">
        <v>561</v>
      </c>
      <c r="S212" s="1">
        <v>44429</v>
      </c>
      <c r="T212" s="1">
        <v>44430</v>
      </c>
      <c r="U212">
        <v>37501</v>
      </c>
      <c r="V212" t="s">
        <v>104</v>
      </c>
      <c r="W212" t="s">
        <v>562</v>
      </c>
      <c r="X212" s="1">
        <v>44435</v>
      </c>
      <c r="Y212" t="s">
        <v>63</v>
      </c>
      <c r="Z212">
        <v>968.59</v>
      </c>
      <c r="AA212">
        <v>16</v>
      </c>
      <c r="AB212">
        <v>134.93</v>
      </c>
      <c r="AC212">
        <v>0</v>
      </c>
      <c r="AD212">
        <v>1103.52</v>
      </c>
      <c r="AE212">
        <v>1240.02</v>
      </c>
      <c r="AF212">
        <v>1636</v>
      </c>
      <c r="AG212" t="s">
        <v>548</v>
      </c>
      <c r="AH212" t="s">
        <v>65</v>
      </c>
      <c r="AI212" t="s">
        <v>65</v>
      </c>
      <c r="AJ212" t="s">
        <v>66</v>
      </c>
      <c r="AK212" t="s">
        <v>66</v>
      </c>
      <c r="AL212" t="s">
        <v>66</v>
      </c>
      <c r="AM212" s="2" t="str">
        <f>HYPERLINK("https://transparencia.cidesi.mx/comprobantes/2021/CQ2100700 /C112331175.pdf")</f>
        <v>https://transparencia.cidesi.mx/comprobantes/2021/CQ2100700 /C112331175.pdf</v>
      </c>
      <c r="AN212" t="str">
        <f>HYPERLINK("https://transparencia.cidesi.mx/comprobantes/2021/CQ2100700 /C112331175.pdf")</f>
        <v>https://transparencia.cidesi.mx/comprobantes/2021/CQ2100700 /C112331175.pdf</v>
      </c>
      <c r="AO212" t="str">
        <f>HYPERLINK("https://transparencia.cidesi.mx/comprobantes/2021/CQ2100700 /C112331175_timbrado.xml")</f>
        <v>https://transparencia.cidesi.mx/comprobantes/2021/CQ2100700 /C112331175_timbrado.xml</v>
      </c>
      <c r="AP212" t="s">
        <v>563</v>
      </c>
      <c r="AQ212" t="s">
        <v>564</v>
      </c>
      <c r="AR212" t="s">
        <v>565</v>
      </c>
      <c r="AS212" t="s">
        <v>566</v>
      </c>
      <c r="AT212" s="1">
        <v>44438</v>
      </c>
      <c r="AU212" s="1">
        <v>44442</v>
      </c>
    </row>
    <row r="213" spans="1:47" x14ac:dyDescent="0.3">
      <c r="A213" t="s">
        <v>47</v>
      </c>
      <c r="B213" t="s">
        <v>48</v>
      </c>
      <c r="C213" t="s">
        <v>392</v>
      </c>
      <c r="D213">
        <v>483</v>
      </c>
      <c r="E213" t="s">
        <v>536</v>
      </c>
      <c r="F213" t="s">
        <v>537</v>
      </c>
      <c r="G213" t="s">
        <v>538</v>
      </c>
      <c r="H213" t="s">
        <v>560</v>
      </c>
      <c r="I213" t="s">
        <v>54</v>
      </c>
      <c r="J213" t="s">
        <v>561</v>
      </c>
      <c r="K213" t="s">
        <v>56</v>
      </c>
      <c r="L213">
        <v>0</v>
      </c>
      <c r="M213" t="s">
        <v>73</v>
      </c>
      <c r="N213">
        <v>0</v>
      </c>
      <c r="O213" t="s">
        <v>58</v>
      </c>
      <c r="P213" t="s">
        <v>59</v>
      </c>
      <c r="Q213" t="s">
        <v>274</v>
      </c>
      <c r="R213" t="s">
        <v>561</v>
      </c>
      <c r="S213" s="1">
        <v>44429</v>
      </c>
      <c r="T213" s="1">
        <v>44430</v>
      </c>
      <c r="U213">
        <v>37501</v>
      </c>
      <c r="V213" t="s">
        <v>61</v>
      </c>
      <c r="W213" t="s">
        <v>562</v>
      </c>
      <c r="X213" s="1">
        <v>44435</v>
      </c>
      <c r="Y213" t="s">
        <v>63</v>
      </c>
      <c r="Z213">
        <v>129.46</v>
      </c>
      <c r="AA213">
        <v>16</v>
      </c>
      <c r="AB213">
        <v>7.04</v>
      </c>
      <c r="AC213">
        <v>0</v>
      </c>
      <c r="AD213">
        <v>136.5</v>
      </c>
      <c r="AE213">
        <v>1240.02</v>
      </c>
      <c r="AF213">
        <v>1636</v>
      </c>
      <c r="AG213" t="s">
        <v>542</v>
      </c>
      <c r="AH213" t="s">
        <v>65</v>
      </c>
      <c r="AI213" t="s">
        <v>65</v>
      </c>
      <c r="AJ213" t="s">
        <v>66</v>
      </c>
      <c r="AK213" t="s">
        <v>66</v>
      </c>
      <c r="AL213" t="s">
        <v>66</v>
      </c>
      <c r="AM213" s="2" t="str">
        <f>HYPERLINK("https://transparencia.cidesi.mx/comprobantes/2021/CQ2100700 /C2FACTURA_1630090335522_342387921.pdf")</f>
        <v>https://transparencia.cidesi.mx/comprobantes/2021/CQ2100700 /C2FACTURA_1630090335522_342387921.pdf</v>
      </c>
      <c r="AN213" t="str">
        <f>HYPERLINK("https://transparencia.cidesi.mx/comprobantes/2021/CQ2100700 /C2FACTURA_1630090335522_342387921.pdf")</f>
        <v>https://transparencia.cidesi.mx/comprobantes/2021/CQ2100700 /C2FACTURA_1630090335522_342387921.pdf</v>
      </c>
      <c r="AO213" t="str">
        <f>HYPERLINK("https://transparencia.cidesi.mx/comprobantes/2021/CQ2100700 /C2FACTURA_1630090342812_342387921.xml")</f>
        <v>https://transparencia.cidesi.mx/comprobantes/2021/CQ2100700 /C2FACTURA_1630090342812_342387921.xml</v>
      </c>
      <c r="AP213" t="s">
        <v>563</v>
      </c>
      <c r="AQ213" t="s">
        <v>564</v>
      </c>
      <c r="AR213" t="s">
        <v>565</v>
      </c>
      <c r="AS213" t="s">
        <v>566</v>
      </c>
      <c r="AT213" s="1">
        <v>44438</v>
      </c>
      <c r="AU213" s="1">
        <v>44442</v>
      </c>
    </row>
    <row r="214" spans="1:47" x14ac:dyDescent="0.3">
      <c r="A214" t="s">
        <v>47</v>
      </c>
      <c r="B214" t="s">
        <v>48</v>
      </c>
      <c r="C214" t="s">
        <v>392</v>
      </c>
      <c r="D214">
        <v>483</v>
      </c>
      <c r="E214" t="s">
        <v>536</v>
      </c>
      <c r="F214" t="s">
        <v>537</v>
      </c>
      <c r="G214" t="s">
        <v>538</v>
      </c>
      <c r="H214" t="s">
        <v>567</v>
      </c>
      <c r="I214" t="s">
        <v>54</v>
      </c>
      <c r="J214" t="s">
        <v>568</v>
      </c>
      <c r="K214" t="s">
        <v>56</v>
      </c>
      <c r="L214">
        <v>0</v>
      </c>
      <c r="M214" t="s">
        <v>73</v>
      </c>
      <c r="N214">
        <v>0</v>
      </c>
      <c r="O214" t="s">
        <v>58</v>
      </c>
      <c r="P214" t="s">
        <v>59</v>
      </c>
      <c r="Q214" t="s">
        <v>60</v>
      </c>
      <c r="R214" t="s">
        <v>568</v>
      </c>
      <c r="S214" s="1">
        <v>44434</v>
      </c>
      <c r="T214" s="1">
        <v>44434</v>
      </c>
      <c r="U214">
        <v>37501</v>
      </c>
      <c r="V214" t="s">
        <v>61</v>
      </c>
      <c r="W214" t="s">
        <v>569</v>
      </c>
      <c r="X214" s="1">
        <v>44438</v>
      </c>
      <c r="Y214" t="s">
        <v>63</v>
      </c>
      <c r="Z214">
        <v>439.66</v>
      </c>
      <c r="AA214">
        <v>16</v>
      </c>
      <c r="AB214">
        <v>70.349999999999994</v>
      </c>
      <c r="AC214">
        <v>0</v>
      </c>
      <c r="AD214">
        <v>510.01</v>
      </c>
      <c r="AE214">
        <v>510.01</v>
      </c>
      <c r="AF214">
        <v>545</v>
      </c>
      <c r="AG214" t="s">
        <v>542</v>
      </c>
      <c r="AH214" t="s">
        <v>65</v>
      </c>
      <c r="AI214" t="s">
        <v>65</v>
      </c>
      <c r="AJ214" t="s">
        <v>66</v>
      </c>
      <c r="AK214" t="s">
        <v>66</v>
      </c>
      <c r="AL214" t="s">
        <v>66</v>
      </c>
      <c r="AM214" s="2" t="str">
        <f>HYPERLINK("https://transparencia.cidesi.mx/comprobantes/2021/CQ2100708 /C1Factura_A2324_CID840309UG7_27082021_120000.pdf")</f>
        <v>https://transparencia.cidesi.mx/comprobantes/2021/CQ2100708 /C1Factura_A2324_CID840309UG7_27082021_120000.pdf</v>
      </c>
      <c r="AN214" t="str">
        <f>HYPERLINK("https://transparencia.cidesi.mx/comprobantes/2021/CQ2100708 /C1Factura_A2324_CID840309UG7_27082021_120000.pdf")</f>
        <v>https://transparencia.cidesi.mx/comprobantes/2021/CQ2100708 /C1Factura_A2324_CID840309UG7_27082021_120000.pdf</v>
      </c>
      <c r="AO214" t="str">
        <f>HYPERLINK("https://transparencia.cidesi.mx/comprobantes/2021/CQ2100708 /C1Factura_A2324_CID840309UG7_27082021_120000.xml")</f>
        <v>https://transparencia.cidesi.mx/comprobantes/2021/CQ2100708 /C1Factura_A2324_CID840309UG7_27082021_120000.xml</v>
      </c>
      <c r="AP214" t="s">
        <v>570</v>
      </c>
      <c r="AQ214" t="s">
        <v>571</v>
      </c>
      <c r="AR214" t="s">
        <v>572</v>
      </c>
      <c r="AS214" t="s">
        <v>573</v>
      </c>
      <c r="AT214" s="1">
        <v>44442</v>
      </c>
      <c r="AU214" s="1">
        <v>44452</v>
      </c>
    </row>
    <row r="215" spans="1:47" x14ac:dyDescent="0.3">
      <c r="A215" t="s">
        <v>47</v>
      </c>
      <c r="B215" t="s">
        <v>48</v>
      </c>
      <c r="C215" t="s">
        <v>392</v>
      </c>
      <c r="D215">
        <v>483</v>
      </c>
      <c r="E215" t="s">
        <v>536</v>
      </c>
      <c r="F215" t="s">
        <v>537</v>
      </c>
      <c r="G215" t="s">
        <v>538</v>
      </c>
      <c r="H215" t="s">
        <v>574</v>
      </c>
      <c r="I215" t="s">
        <v>54</v>
      </c>
      <c r="J215" t="s">
        <v>575</v>
      </c>
      <c r="K215" t="s">
        <v>56</v>
      </c>
      <c r="L215">
        <v>0</v>
      </c>
      <c r="M215" t="s">
        <v>73</v>
      </c>
      <c r="N215">
        <v>0</v>
      </c>
      <c r="O215" t="s">
        <v>58</v>
      </c>
      <c r="P215" t="s">
        <v>59</v>
      </c>
      <c r="Q215" t="s">
        <v>576</v>
      </c>
      <c r="R215" t="s">
        <v>575</v>
      </c>
      <c r="S215" s="1">
        <v>44443</v>
      </c>
      <c r="T215" s="1">
        <v>44444</v>
      </c>
      <c r="U215">
        <v>37501</v>
      </c>
      <c r="V215" t="s">
        <v>61</v>
      </c>
      <c r="W215" t="s">
        <v>577</v>
      </c>
      <c r="X215" s="1">
        <v>44452</v>
      </c>
      <c r="Y215" t="s">
        <v>207</v>
      </c>
      <c r="Z215">
        <v>301.72000000000003</v>
      </c>
      <c r="AA215">
        <v>16</v>
      </c>
      <c r="AB215">
        <v>48.28</v>
      </c>
      <c r="AC215">
        <v>0</v>
      </c>
      <c r="AD215">
        <v>350</v>
      </c>
      <c r="AE215">
        <v>1370.5</v>
      </c>
      <c r="AF215">
        <v>1636</v>
      </c>
      <c r="AG215" t="s">
        <v>542</v>
      </c>
      <c r="AH215" t="s">
        <v>65</v>
      </c>
      <c r="AI215" t="s">
        <v>65</v>
      </c>
      <c r="AJ215" t="s">
        <v>66</v>
      </c>
      <c r="AK215" t="s">
        <v>66</v>
      </c>
      <c r="AL215" t="s">
        <v>66</v>
      </c>
      <c r="AM215" s="2" t="str">
        <f>HYPERLINK("https://transparencia.cidesi.mx/comprobantes/2021/CQ2100795 /C170216081.pdf")</f>
        <v>https://transparencia.cidesi.mx/comprobantes/2021/CQ2100795 /C170216081.pdf</v>
      </c>
      <c r="AN215" t="str">
        <f>HYPERLINK("https://transparencia.cidesi.mx/comprobantes/2021/CQ2100795 /C170216081.pdf")</f>
        <v>https://transparencia.cidesi.mx/comprobantes/2021/CQ2100795 /C170216081.pdf</v>
      </c>
      <c r="AO215" t="str">
        <f>HYPERLINK("https://transparencia.cidesi.mx/comprobantes/2021/CQ2100795 /C170216081.xml")</f>
        <v>https://transparencia.cidesi.mx/comprobantes/2021/CQ2100795 /C170216081.xml</v>
      </c>
      <c r="AP215" t="s">
        <v>578</v>
      </c>
      <c r="AQ215" t="s">
        <v>579</v>
      </c>
      <c r="AR215" t="s">
        <v>580</v>
      </c>
      <c r="AS215" t="s">
        <v>581</v>
      </c>
      <c r="AT215" s="1">
        <v>44452</v>
      </c>
      <c r="AU215" t="s">
        <v>73</v>
      </c>
    </row>
    <row r="216" spans="1:47" x14ac:dyDescent="0.3">
      <c r="A216" t="s">
        <v>47</v>
      </c>
      <c r="B216" t="s">
        <v>48</v>
      </c>
      <c r="C216" t="s">
        <v>392</v>
      </c>
      <c r="D216">
        <v>483</v>
      </c>
      <c r="E216" t="s">
        <v>536</v>
      </c>
      <c r="F216" t="s">
        <v>537</v>
      </c>
      <c r="G216" t="s">
        <v>538</v>
      </c>
      <c r="H216" t="s">
        <v>574</v>
      </c>
      <c r="I216" t="s">
        <v>54</v>
      </c>
      <c r="J216" t="s">
        <v>575</v>
      </c>
      <c r="K216" t="s">
        <v>56</v>
      </c>
      <c r="L216">
        <v>0</v>
      </c>
      <c r="M216" t="s">
        <v>73</v>
      </c>
      <c r="N216">
        <v>0</v>
      </c>
      <c r="O216" t="s">
        <v>58</v>
      </c>
      <c r="P216" t="s">
        <v>59</v>
      </c>
      <c r="Q216" t="s">
        <v>576</v>
      </c>
      <c r="R216" t="s">
        <v>575</v>
      </c>
      <c r="S216" s="1">
        <v>44443</v>
      </c>
      <c r="T216" s="1">
        <v>44444</v>
      </c>
      <c r="U216">
        <v>37501</v>
      </c>
      <c r="V216" t="s">
        <v>61</v>
      </c>
      <c r="W216" t="s">
        <v>577</v>
      </c>
      <c r="X216" s="1">
        <v>44452</v>
      </c>
      <c r="Y216" t="s">
        <v>207</v>
      </c>
      <c r="Z216">
        <v>366.38</v>
      </c>
      <c r="AA216">
        <v>16</v>
      </c>
      <c r="AB216">
        <v>58.62</v>
      </c>
      <c r="AC216">
        <v>0</v>
      </c>
      <c r="AD216">
        <v>425</v>
      </c>
      <c r="AE216">
        <v>1370.5</v>
      </c>
      <c r="AF216">
        <v>1636</v>
      </c>
      <c r="AG216" t="s">
        <v>542</v>
      </c>
      <c r="AH216" t="s">
        <v>65</v>
      </c>
      <c r="AI216" t="s">
        <v>65</v>
      </c>
      <c r="AJ216" t="s">
        <v>66</v>
      </c>
      <c r="AK216" t="s">
        <v>66</v>
      </c>
      <c r="AL216" t="s">
        <v>66</v>
      </c>
      <c r="AM216" s="2" t="str">
        <f>HYPERLINK("https://transparencia.cidesi.mx/comprobantes/2021/CQ2100795 /C2Factura-10289.pdf")</f>
        <v>https://transparencia.cidesi.mx/comprobantes/2021/CQ2100795 /C2Factura-10289.pdf</v>
      </c>
      <c r="AN216" t="str">
        <f>HYPERLINK("https://transparencia.cidesi.mx/comprobantes/2021/CQ2100795 /C2Factura-10289.pdf")</f>
        <v>https://transparencia.cidesi.mx/comprobantes/2021/CQ2100795 /C2Factura-10289.pdf</v>
      </c>
      <c r="AO216" t="str">
        <f>HYPERLINK("https://transparencia.cidesi.mx/comprobantes/2021/CQ2100795 /C2Factura-10289.xml")</f>
        <v>https://transparencia.cidesi.mx/comprobantes/2021/CQ2100795 /C2Factura-10289.xml</v>
      </c>
      <c r="AP216" t="s">
        <v>578</v>
      </c>
      <c r="AQ216" t="s">
        <v>579</v>
      </c>
      <c r="AR216" t="s">
        <v>580</v>
      </c>
      <c r="AS216" t="s">
        <v>581</v>
      </c>
      <c r="AT216" s="1">
        <v>44452</v>
      </c>
      <c r="AU216" t="s">
        <v>73</v>
      </c>
    </row>
    <row r="217" spans="1:47" x14ac:dyDescent="0.3">
      <c r="A217" t="s">
        <v>47</v>
      </c>
      <c r="B217" t="s">
        <v>48</v>
      </c>
      <c r="C217" t="s">
        <v>392</v>
      </c>
      <c r="D217">
        <v>483</v>
      </c>
      <c r="E217" t="s">
        <v>536</v>
      </c>
      <c r="F217" t="s">
        <v>537</v>
      </c>
      <c r="G217" t="s">
        <v>538</v>
      </c>
      <c r="H217" t="s">
        <v>574</v>
      </c>
      <c r="I217" t="s">
        <v>54</v>
      </c>
      <c r="J217" t="s">
        <v>575</v>
      </c>
      <c r="K217" t="s">
        <v>56</v>
      </c>
      <c r="L217">
        <v>0</v>
      </c>
      <c r="M217" t="s">
        <v>73</v>
      </c>
      <c r="N217">
        <v>0</v>
      </c>
      <c r="O217" t="s">
        <v>58</v>
      </c>
      <c r="P217" t="s">
        <v>59</v>
      </c>
      <c r="Q217" t="s">
        <v>576</v>
      </c>
      <c r="R217" t="s">
        <v>575</v>
      </c>
      <c r="S217" s="1">
        <v>44443</v>
      </c>
      <c r="T217" s="1">
        <v>44444</v>
      </c>
      <c r="U217">
        <v>37501</v>
      </c>
      <c r="V217" t="s">
        <v>61</v>
      </c>
      <c r="W217" t="s">
        <v>577</v>
      </c>
      <c r="X217" s="1">
        <v>44452</v>
      </c>
      <c r="Y217" t="s">
        <v>207</v>
      </c>
      <c r="Z217">
        <v>57.79</v>
      </c>
      <c r="AA217">
        <v>16</v>
      </c>
      <c r="AB217">
        <v>2.21</v>
      </c>
      <c r="AC217">
        <v>0</v>
      </c>
      <c r="AD217">
        <v>60</v>
      </c>
      <c r="AE217">
        <v>1370.5</v>
      </c>
      <c r="AF217">
        <v>1636</v>
      </c>
      <c r="AG217" t="s">
        <v>542</v>
      </c>
      <c r="AH217" t="s">
        <v>65</v>
      </c>
      <c r="AI217" t="s">
        <v>65</v>
      </c>
      <c r="AJ217" t="s">
        <v>66</v>
      </c>
      <c r="AK217" t="s">
        <v>66</v>
      </c>
      <c r="AL217" t="s">
        <v>66</v>
      </c>
      <c r="AM217" s="2" t="str">
        <f>HYPERLINK("https://transparencia.cidesi.mx/comprobantes/2021/CQ2100795 /C3RPM170315DQ5_POR-T_11794.pdf")</f>
        <v>https://transparencia.cidesi.mx/comprobantes/2021/CQ2100795 /C3RPM170315DQ5_POR-T_11794.pdf</v>
      </c>
      <c r="AN217" t="str">
        <f>HYPERLINK("https://transparencia.cidesi.mx/comprobantes/2021/CQ2100795 /C3RPM170315DQ5_POR-T_11794.pdf")</f>
        <v>https://transparencia.cidesi.mx/comprobantes/2021/CQ2100795 /C3RPM170315DQ5_POR-T_11794.pdf</v>
      </c>
      <c r="AO217" t="str">
        <f>HYPERLINK("https://transparencia.cidesi.mx/comprobantes/2021/CQ2100795 /C3RPM170315DQ5_POR-T_11794.xml")</f>
        <v>https://transparencia.cidesi.mx/comprobantes/2021/CQ2100795 /C3RPM170315DQ5_POR-T_11794.xml</v>
      </c>
      <c r="AP217" t="s">
        <v>578</v>
      </c>
      <c r="AQ217" t="s">
        <v>579</v>
      </c>
      <c r="AR217" t="s">
        <v>580</v>
      </c>
      <c r="AS217" t="s">
        <v>581</v>
      </c>
      <c r="AT217" s="1">
        <v>44452</v>
      </c>
      <c r="AU217" t="s">
        <v>73</v>
      </c>
    </row>
    <row r="218" spans="1:47" x14ac:dyDescent="0.3">
      <c r="A218" t="s">
        <v>47</v>
      </c>
      <c r="B218" t="s">
        <v>48</v>
      </c>
      <c r="C218" t="s">
        <v>392</v>
      </c>
      <c r="D218">
        <v>483</v>
      </c>
      <c r="E218" t="s">
        <v>536</v>
      </c>
      <c r="F218" t="s">
        <v>537</v>
      </c>
      <c r="G218" t="s">
        <v>538</v>
      </c>
      <c r="H218" t="s">
        <v>574</v>
      </c>
      <c r="I218" t="s">
        <v>54</v>
      </c>
      <c r="J218" t="s">
        <v>575</v>
      </c>
      <c r="K218" t="s">
        <v>56</v>
      </c>
      <c r="L218">
        <v>0</v>
      </c>
      <c r="M218" t="s">
        <v>73</v>
      </c>
      <c r="N218">
        <v>0</v>
      </c>
      <c r="O218" t="s">
        <v>58</v>
      </c>
      <c r="P218" t="s">
        <v>59</v>
      </c>
      <c r="Q218" t="s">
        <v>576</v>
      </c>
      <c r="R218" t="s">
        <v>575</v>
      </c>
      <c r="S218" s="1">
        <v>44443</v>
      </c>
      <c r="T218" s="1">
        <v>44444</v>
      </c>
      <c r="U218">
        <v>37501</v>
      </c>
      <c r="V218" t="s">
        <v>104</v>
      </c>
      <c r="W218" t="s">
        <v>577</v>
      </c>
      <c r="X218" s="1">
        <v>44452</v>
      </c>
      <c r="Y218" t="s">
        <v>207</v>
      </c>
      <c r="Z218">
        <v>535.5</v>
      </c>
      <c r="AA218">
        <v>0</v>
      </c>
      <c r="AB218">
        <v>0</v>
      </c>
      <c r="AC218">
        <v>0</v>
      </c>
      <c r="AD218">
        <v>535.5</v>
      </c>
      <c r="AE218">
        <v>1370.5</v>
      </c>
      <c r="AF218">
        <v>1636</v>
      </c>
      <c r="AG218" t="s">
        <v>548</v>
      </c>
      <c r="AH218" t="s">
        <v>65</v>
      </c>
      <c r="AI218" t="s">
        <v>66</v>
      </c>
      <c r="AJ218" t="s">
        <v>66</v>
      </c>
      <c r="AK218" t="s">
        <v>66</v>
      </c>
      <c r="AL218" t="s">
        <v>66</v>
      </c>
      <c r="AM218" s="2" t="s">
        <v>73</v>
      </c>
      <c r="AN218" t="s">
        <v>73</v>
      </c>
      <c r="AO218" t="s">
        <v>73</v>
      </c>
      <c r="AP218" t="s">
        <v>578</v>
      </c>
      <c r="AQ218" t="s">
        <v>579</v>
      </c>
      <c r="AR218" t="s">
        <v>580</v>
      </c>
      <c r="AS218" t="s">
        <v>581</v>
      </c>
      <c r="AT218" s="1">
        <v>44452</v>
      </c>
      <c r="AU218" t="s">
        <v>73</v>
      </c>
    </row>
    <row r="219" spans="1:47" x14ac:dyDescent="0.3">
      <c r="A219" t="s">
        <v>47</v>
      </c>
      <c r="B219" t="s">
        <v>48</v>
      </c>
      <c r="C219" t="s">
        <v>392</v>
      </c>
      <c r="D219">
        <v>483</v>
      </c>
      <c r="E219" t="s">
        <v>536</v>
      </c>
      <c r="F219" t="s">
        <v>537</v>
      </c>
      <c r="G219" t="s">
        <v>538</v>
      </c>
      <c r="H219" t="s">
        <v>582</v>
      </c>
      <c r="I219" t="s">
        <v>54</v>
      </c>
      <c r="J219" t="s">
        <v>583</v>
      </c>
      <c r="K219" t="s">
        <v>56</v>
      </c>
      <c r="L219">
        <v>0</v>
      </c>
      <c r="M219" t="s">
        <v>73</v>
      </c>
      <c r="N219">
        <v>0</v>
      </c>
      <c r="O219" t="s">
        <v>58</v>
      </c>
      <c r="P219" t="s">
        <v>59</v>
      </c>
      <c r="Q219" t="s">
        <v>60</v>
      </c>
      <c r="R219" t="s">
        <v>583</v>
      </c>
      <c r="S219" s="1">
        <v>44448</v>
      </c>
      <c r="T219" s="1">
        <v>44449</v>
      </c>
      <c r="U219">
        <v>37501</v>
      </c>
      <c r="V219" t="s">
        <v>61</v>
      </c>
      <c r="W219" t="s">
        <v>584</v>
      </c>
      <c r="X219" s="1">
        <v>44459</v>
      </c>
      <c r="Y219" t="s">
        <v>63</v>
      </c>
      <c r="Z219">
        <v>438.79</v>
      </c>
      <c r="AA219">
        <v>16</v>
      </c>
      <c r="AB219">
        <v>70.209999999999994</v>
      </c>
      <c r="AC219">
        <v>0</v>
      </c>
      <c r="AD219">
        <v>509</v>
      </c>
      <c r="AE219">
        <v>1422</v>
      </c>
      <c r="AF219">
        <v>1636</v>
      </c>
      <c r="AG219" t="s">
        <v>542</v>
      </c>
      <c r="AH219" t="s">
        <v>65</v>
      </c>
      <c r="AI219" t="s">
        <v>65</v>
      </c>
      <c r="AJ219" t="s">
        <v>66</v>
      </c>
      <c r="AK219" t="s">
        <v>66</v>
      </c>
      <c r="AL219" t="s">
        <v>66</v>
      </c>
      <c r="AM219" s="2" t="str">
        <f>HYPERLINK("https://transparencia.cidesi.mx/comprobantes/2021/CQ2100826 /C1HCU000131DX6_A_6576.pdf")</f>
        <v>https://transparencia.cidesi.mx/comprobantes/2021/CQ2100826 /C1HCU000131DX6_A_6576.pdf</v>
      </c>
      <c r="AN219" t="str">
        <f>HYPERLINK("https://transparencia.cidesi.mx/comprobantes/2021/CQ2100826 /C1HCU000131DX6_A_6576.pdf")</f>
        <v>https://transparencia.cidesi.mx/comprobantes/2021/CQ2100826 /C1HCU000131DX6_A_6576.pdf</v>
      </c>
      <c r="AO219" t="str">
        <f>HYPERLINK("https://transparencia.cidesi.mx/comprobantes/2021/CQ2100826 /C1HCU000131DX6_A_6576T.xml")</f>
        <v>https://transparencia.cidesi.mx/comprobantes/2021/CQ2100826 /C1HCU000131DX6_A_6576T.xml</v>
      </c>
      <c r="AP219" t="s">
        <v>585</v>
      </c>
      <c r="AQ219" t="s">
        <v>586</v>
      </c>
      <c r="AR219" t="s">
        <v>587</v>
      </c>
      <c r="AS219" t="s">
        <v>586</v>
      </c>
      <c r="AT219" s="1">
        <v>44460</v>
      </c>
      <c r="AU219" s="1">
        <v>44476</v>
      </c>
    </row>
    <row r="220" spans="1:47" x14ac:dyDescent="0.3">
      <c r="A220" t="s">
        <v>47</v>
      </c>
      <c r="B220" t="s">
        <v>48</v>
      </c>
      <c r="C220" t="s">
        <v>392</v>
      </c>
      <c r="D220">
        <v>483</v>
      </c>
      <c r="E220" t="s">
        <v>536</v>
      </c>
      <c r="F220" t="s">
        <v>537</v>
      </c>
      <c r="G220" t="s">
        <v>538</v>
      </c>
      <c r="H220" t="s">
        <v>582</v>
      </c>
      <c r="I220" t="s">
        <v>54</v>
      </c>
      <c r="J220" t="s">
        <v>583</v>
      </c>
      <c r="K220" t="s">
        <v>56</v>
      </c>
      <c r="L220">
        <v>0</v>
      </c>
      <c r="M220" t="s">
        <v>73</v>
      </c>
      <c r="N220">
        <v>0</v>
      </c>
      <c r="O220" t="s">
        <v>58</v>
      </c>
      <c r="P220" t="s">
        <v>59</v>
      </c>
      <c r="Q220" t="s">
        <v>60</v>
      </c>
      <c r="R220" t="s">
        <v>583</v>
      </c>
      <c r="S220" s="1">
        <v>44448</v>
      </c>
      <c r="T220" s="1">
        <v>44449</v>
      </c>
      <c r="U220">
        <v>37501</v>
      </c>
      <c r="V220" t="s">
        <v>61</v>
      </c>
      <c r="W220" t="s">
        <v>584</v>
      </c>
      <c r="X220" s="1">
        <v>44459</v>
      </c>
      <c r="Y220" t="s">
        <v>63</v>
      </c>
      <c r="Z220">
        <v>283.62</v>
      </c>
      <c r="AA220">
        <v>16</v>
      </c>
      <c r="AB220">
        <v>45.38</v>
      </c>
      <c r="AC220">
        <v>0</v>
      </c>
      <c r="AD220">
        <v>329</v>
      </c>
      <c r="AE220">
        <v>1422</v>
      </c>
      <c r="AF220">
        <v>1636</v>
      </c>
      <c r="AG220" t="s">
        <v>542</v>
      </c>
      <c r="AH220" t="s">
        <v>65</v>
      </c>
      <c r="AI220" t="s">
        <v>65</v>
      </c>
      <c r="AJ220" t="s">
        <v>66</v>
      </c>
      <c r="AK220" t="s">
        <v>66</v>
      </c>
      <c r="AL220" t="s">
        <v>66</v>
      </c>
      <c r="AM220" s="2" t="str">
        <f>HYPERLINK("https://transparencia.cidesi.mx/comprobantes/2021/CQ2100826 /C2CID840309UG7_TIWEBDF6566422.pdf")</f>
        <v>https://transparencia.cidesi.mx/comprobantes/2021/CQ2100826 /C2CID840309UG7_TIWEBDF6566422.pdf</v>
      </c>
      <c r="AN220" t="str">
        <f>HYPERLINK("https://transparencia.cidesi.mx/comprobantes/2021/CQ2100826 /C2CID840309UG7_TIWEBDF6566422.pdf")</f>
        <v>https://transparencia.cidesi.mx/comprobantes/2021/CQ2100826 /C2CID840309UG7_TIWEBDF6566422.pdf</v>
      </c>
      <c r="AO220" t="str">
        <f>HYPERLINK("https://transparencia.cidesi.mx/comprobantes/2021/CQ2100826 /C2CID840309UG7_TIWEBDF6566422.xml")</f>
        <v>https://transparencia.cidesi.mx/comprobantes/2021/CQ2100826 /C2CID840309UG7_TIWEBDF6566422.xml</v>
      </c>
      <c r="AP220" t="s">
        <v>585</v>
      </c>
      <c r="AQ220" t="s">
        <v>586</v>
      </c>
      <c r="AR220" t="s">
        <v>587</v>
      </c>
      <c r="AS220" t="s">
        <v>586</v>
      </c>
      <c r="AT220" s="1">
        <v>44460</v>
      </c>
      <c r="AU220" s="1">
        <v>44476</v>
      </c>
    </row>
    <row r="221" spans="1:47" x14ac:dyDescent="0.3">
      <c r="A221" t="s">
        <v>47</v>
      </c>
      <c r="B221" t="s">
        <v>48</v>
      </c>
      <c r="C221" t="s">
        <v>392</v>
      </c>
      <c r="D221">
        <v>483</v>
      </c>
      <c r="E221" t="s">
        <v>536</v>
      </c>
      <c r="F221" t="s">
        <v>537</v>
      </c>
      <c r="G221" t="s">
        <v>538</v>
      </c>
      <c r="H221" t="s">
        <v>582</v>
      </c>
      <c r="I221" t="s">
        <v>54</v>
      </c>
      <c r="J221" t="s">
        <v>583</v>
      </c>
      <c r="K221" t="s">
        <v>56</v>
      </c>
      <c r="L221">
        <v>0</v>
      </c>
      <c r="M221" t="s">
        <v>73</v>
      </c>
      <c r="N221">
        <v>0</v>
      </c>
      <c r="O221" t="s">
        <v>58</v>
      </c>
      <c r="P221" t="s">
        <v>59</v>
      </c>
      <c r="Q221" t="s">
        <v>60</v>
      </c>
      <c r="R221" t="s">
        <v>583</v>
      </c>
      <c r="S221" s="1">
        <v>44448</v>
      </c>
      <c r="T221" s="1">
        <v>44449</v>
      </c>
      <c r="U221">
        <v>37501</v>
      </c>
      <c r="V221" t="s">
        <v>61</v>
      </c>
      <c r="W221" t="s">
        <v>584</v>
      </c>
      <c r="X221" s="1">
        <v>44459</v>
      </c>
      <c r="Y221" t="s">
        <v>63</v>
      </c>
      <c r="Z221">
        <v>318.10000000000002</v>
      </c>
      <c r="AA221">
        <v>16</v>
      </c>
      <c r="AB221">
        <v>50.9</v>
      </c>
      <c r="AC221">
        <v>0</v>
      </c>
      <c r="AD221">
        <v>369</v>
      </c>
      <c r="AE221">
        <v>1422</v>
      </c>
      <c r="AF221">
        <v>1636</v>
      </c>
      <c r="AG221" t="s">
        <v>542</v>
      </c>
      <c r="AH221" t="s">
        <v>65</v>
      </c>
      <c r="AI221" t="s">
        <v>65</v>
      </c>
      <c r="AJ221" t="s">
        <v>66</v>
      </c>
      <c r="AK221" t="s">
        <v>66</v>
      </c>
      <c r="AL221" t="s">
        <v>66</v>
      </c>
      <c r="AM221" s="2" t="str">
        <f>HYPERLINK("https://transparencia.cidesi.mx/comprobantes/2021/CQ2100826 /C3CID840309UG7_TIWEBDF6566353.pdf")</f>
        <v>https://transparencia.cidesi.mx/comprobantes/2021/CQ2100826 /C3CID840309UG7_TIWEBDF6566353.pdf</v>
      </c>
      <c r="AN221" t="str">
        <f>HYPERLINK("https://transparencia.cidesi.mx/comprobantes/2021/CQ2100826 /C3CID840309UG7_TIWEBDF6566353.pdf")</f>
        <v>https://transparencia.cidesi.mx/comprobantes/2021/CQ2100826 /C3CID840309UG7_TIWEBDF6566353.pdf</v>
      </c>
      <c r="AO221" t="str">
        <f>HYPERLINK("https://transparencia.cidesi.mx/comprobantes/2021/CQ2100826 /C3CID840309UG7_TIWEBDF6566353.xml")</f>
        <v>https://transparencia.cidesi.mx/comprobantes/2021/CQ2100826 /C3CID840309UG7_TIWEBDF6566353.xml</v>
      </c>
      <c r="AP221" t="s">
        <v>585</v>
      </c>
      <c r="AQ221" t="s">
        <v>586</v>
      </c>
      <c r="AR221" t="s">
        <v>587</v>
      </c>
      <c r="AS221" t="s">
        <v>586</v>
      </c>
      <c r="AT221" s="1">
        <v>44460</v>
      </c>
      <c r="AU221" s="1">
        <v>44476</v>
      </c>
    </row>
    <row r="222" spans="1:47" x14ac:dyDescent="0.3">
      <c r="A222" t="s">
        <v>47</v>
      </c>
      <c r="B222" t="s">
        <v>48</v>
      </c>
      <c r="C222" t="s">
        <v>392</v>
      </c>
      <c r="D222">
        <v>483</v>
      </c>
      <c r="E222" t="s">
        <v>536</v>
      </c>
      <c r="F222" t="s">
        <v>537</v>
      </c>
      <c r="G222" t="s">
        <v>538</v>
      </c>
      <c r="H222" t="s">
        <v>582</v>
      </c>
      <c r="I222" t="s">
        <v>54</v>
      </c>
      <c r="J222" t="s">
        <v>583</v>
      </c>
      <c r="K222" t="s">
        <v>56</v>
      </c>
      <c r="L222">
        <v>0</v>
      </c>
      <c r="M222" t="s">
        <v>73</v>
      </c>
      <c r="N222">
        <v>0</v>
      </c>
      <c r="O222" t="s">
        <v>58</v>
      </c>
      <c r="P222" t="s">
        <v>59</v>
      </c>
      <c r="Q222" t="s">
        <v>60</v>
      </c>
      <c r="R222" t="s">
        <v>583</v>
      </c>
      <c r="S222" s="1">
        <v>44448</v>
      </c>
      <c r="T222" s="1">
        <v>44449</v>
      </c>
      <c r="U222">
        <v>37501</v>
      </c>
      <c r="V222" t="s">
        <v>61</v>
      </c>
      <c r="W222" t="s">
        <v>584</v>
      </c>
      <c r="X222" s="1">
        <v>44459</v>
      </c>
      <c r="Y222" t="s">
        <v>63</v>
      </c>
      <c r="Z222">
        <v>185.34</v>
      </c>
      <c r="AA222">
        <v>16</v>
      </c>
      <c r="AB222">
        <v>29.66</v>
      </c>
      <c r="AC222">
        <v>0</v>
      </c>
      <c r="AD222">
        <v>215</v>
      </c>
      <c r="AE222">
        <v>1422</v>
      </c>
      <c r="AF222">
        <v>1636</v>
      </c>
      <c r="AG222" t="s">
        <v>542</v>
      </c>
      <c r="AH222" t="s">
        <v>65</v>
      </c>
      <c r="AI222" t="s">
        <v>65</v>
      </c>
      <c r="AJ222" t="s">
        <v>66</v>
      </c>
      <c r="AK222" t="s">
        <v>66</v>
      </c>
      <c r="AL222" t="s">
        <v>66</v>
      </c>
      <c r="AM222" s="2" t="str">
        <f>HYPERLINK("https://transparencia.cidesi.mx/comprobantes/2021/CQ2100826 /C4RORR791119M94_Factura__38309_F85018C4-0276-45B7-B792-D70DBC72C37A.pdf")</f>
        <v>https://transparencia.cidesi.mx/comprobantes/2021/CQ2100826 /C4RORR791119M94_Factura__38309_F85018C4-0276-45B7-B792-D70DBC72C37A.pdf</v>
      </c>
      <c r="AN222" t="str">
        <f>HYPERLINK("https://transparencia.cidesi.mx/comprobantes/2021/CQ2100826 /C4RORR791119M94_Factura__38309_F85018C4-0276-45B7-B792-D70DBC72C37A.pdf")</f>
        <v>https://transparencia.cidesi.mx/comprobantes/2021/CQ2100826 /C4RORR791119M94_Factura__38309_F85018C4-0276-45B7-B792-D70DBC72C37A.pdf</v>
      </c>
      <c r="AO222" t="str">
        <f>HYPERLINK("https://transparencia.cidesi.mx/comprobantes/2021/CQ2100826 /C4RORR791119M94_Factura__38309_F85018C4-0276-45B7-B792-D70DBC72C37A.xml")</f>
        <v>https://transparencia.cidesi.mx/comprobantes/2021/CQ2100826 /C4RORR791119M94_Factura__38309_F85018C4-0276-45B7-B792-D70DBC72C37A.xml</v>
      </c>
      <c r="AP222" t="s">
        <v>585</v>
      </c>
      <c r="AQ222" t="s">
        <v>586</v>
      </c>
      <c r="AR222" t="s">
        <v>587</v>
      </c>
      <c r="AS222" t="s">
        <v>586</v>
      </c>
      <c r="AT222" s="1">
        <v>44460</v>
      </c>
      <c r="AU222" s="1">
        <v>44476</v>
      </c>
    </row>
    <row r="223" spans="1:47" x14ac:dyDescent="0.3">
      <c r="A223" t="s">
        <v>47</v>
      </c>
      <c r="B223" t="s">
        <v>48</v>
      </c>
      <c r="C223" t="s">
        <v>392</v>
      </c>
      <c r="D223">
        <v>483</v>
      </c>
      <c r="E223" t="s">
        <v>536</v>
      </c>
      <c r="F223" t="s">
        <v>537</v>
      </c>
      <c r="G223" t="s">
        <v>538</v>
      </c>
      <c r="H223" t="s">
        <v>588</v>
      </c>
      <c r="I223" t="s">
        <v>54</v>
      </c>
      <c r="J223" t="s">
        <v>589</v>
      </c>
      <c r="K223" t="s">
        <v>56</v>
      </c>
      <c r="L223">
        <v>0</v>
      </c>
      <c r="M223" t="s">
        <v>73</v>
      </c>
      <c r="N223">
        <v>0</v>
      </c>
      <c r="O223" t="s">
        <v>58</v>
      </c>
      <c r="P223" t="s">
        <v>59</v>
      </c>
      <c r="Q223" t="s">
        <v>590</v>
      </c>
      <c r="R223" t="s">
        <v>589</v>
      </c>
      <c r="S223" s="1">
        <v>44462</v>
      </c>
      <c r="T223" s="1">
        <v>44464</v>
      </c>
      <c r="U223">
        <v>37501</v>
      </c>
      <c r="V223" t="s">
        <v>61</v>
      </c>
      <c r="W223" t="s">
        <v>591</v>
      </c>
      <c r="X223" s="1">
        <v>44473</v>
      </c>
      <c r="Y223" t="s">
        <v>63</v>
      </c>
      <c r="Z223">
        <v>86.36</v>
      </c>
      <c r="AA223">
        <v>16</v>
      </c>
      <c r="AB223">
        <v>6.14</v>
      </c>
      <c r="AC223">
        <v>0</v>
      </c>
      <c r="AD223">
        <v>92.5</v>
      </c>
      <c r="AE223">
        <v>1375.5</v>
      </c>
      <c r="AF223">
        <v>2727</v>
      </c>
      <c r="AG223" t="s">
        <v>542</v>
      </c>
      <c r="AH223" t="s">
        <v>65</v>
      </c>
      <c r="AI223" t="s">
        <v>65</v>
      </c>
      <c r="AJ223" t="s">
        <v>66</v>
      </c>
      <c r="AK223" t="s">
        <v>66</v>
      </c>
      <c r="AL223" t="s">
        <v>66</v>
      </c>
      <c r="AM223" s="2" t="str">
        <f>HYPERLINK("https://transparencia.cidesi.mx/comprobantes/2021/CQ2100934 /C3FACTURA_1632665159213_345959997.pdf")</f>
        <v>https://transparencia.cidesi.mx/comprobantes/2021/CQ2100934 /C3FACTURA_1632665159213_345959997.pdf</v>
      </c>
      <c r="AN223" t="str">
        <f>HYPERLINK("https://transparencia.cidesi.mx/comprobantes/2021/CQ2100934 /C3FACTURA_1632665159213_345959997.pdf")</f>
        <v>https://transparencia.cidesi.mx/comprobantes/2021/CQ2100934 /C3FACTURA_1632665159213_345959997.pdf</v>
      </c>
      <c r="AO223" t="str">
        <f>HYPERLINK("https://transparencia.cidesi.mx/comprobantes/2021/CQ2100934 /C3FACTURA_1632665169183_345959997.xml")</f>
        <v>https://transparencia.cidesi.mx/comprobantes/2021/CQ2100934 /C3FACTURA_1632665169183_345959997.xml</v>
      </c>
      <c r="AP223" t="s">
        <v>592</v>
      </c>
      <c r="AQ223" t="s">
        <v>593</v>
      </c>
      <c r="AR223" t="s">
        <v>594</v>
      </c>
      <c r="AS223" t="s">
        <v>595</v>
      </c>
      <c r="AT223" s="1">
        <v>44473</v>
      </c>
      <c r="AU223" s="1">
        <v>44473</v>
      </c>
    </row>
    <row r="224" spans="1:47" x14ac:dyDescent="0.3">
      <c r="A224" t="s">
        <v>47</v>
      </c>
      <c r="B224" t="s">
        <v>48</v>
      </c>
      <c r="C224" t="s">
        <v>392</v>
      </c>
      <c r="D224">
        <v>483</v>
      </c>
      <c r="E224" t="s">
        <v>536</v>
      </c>
      <c r="F224" t="s">
        <v>537</v>
      </c>
      <c r="G224" t="s">
        <v>538</v>
      </c>
      <c r="H224" t="s">
        <v>588</v>
      </c>
      <c r="I224" t="s">
        <v>54</v>
      </c>
      <c r="J224" t="s">
        <v>589</v>
      </c>
      <c r="K224" t="s">
        <v>56</v>
      </c>
      <c r="L224">
        <v>0</v>
      </c>
      <c r="M224" t="s">
        <v>73</v>
      </c>
      <c r="N224">
        <v>0</v>
      </c>
      <c r="O224" t="s">
        <v>58</v>
      </c>
      <c r="P224" t="s">
        <v>59</v>
      </c>
      <c r="Q224" t="s">
        <v>590</v>
      </c>
      <c r="R224" t="s">
        <v>589</v>
      </c>
      <c r="S224" s="1">
        <v>44462</v>
      </c>
      <c r="T224" s="1">
        <v>44464</v>
      </c>
      <c r="U224">
        <v>37501</v>
      </c>
      <c r="V224" t="s">
        <v>61</v>
      </c>
      <c r="W224" t="s">
        <v>591</v>
      </c>
      <c r="X224" s="1">
        <v>44473</v>
      </c>
      <c r="Y224" t="s">
        <v>63</v>
      </c>
      <c r="Z224">
        <v>211.21</v>
      </c>
      <c r="AA224">
        <v>16</v>
      </c>
      <c r="AB224">
        <v>33.79</v>
      </c>
      <c r="AC224">
        <v>0</v>
      </c>
      <c r="AD224">
        <v>245</v>
      </c>
      <c r="AE224">
        <v>1375.5</v>
      </c>
      <c r="AF224">
        <v>2727</v>
      </c>
      <c r="AG224" t="s">
        <v>542</v>
      </c>
      <c r="AH224" t="s">
        <v>65</v>
      </c>
      <c r="AI224" t="s">
        <v>65</v>
      </c>
      <c r="AJ224" t="s">
        <v>66</v>
      </c>
      <c r="AK224" t="s">
        <v>66</v>
      </c>
      <c r="AL224" t="s">
        <v>66</v>
      </c>
      <c r="AM224" s="2" t="str">
        <f>HYPERLINK("https://transparencia.cidesi.mx/comprobantes/2021/CQ2100934 /C4EF3C57CB-BCB8-4245-B913-72D9BD7D865B.pdf")</f>
        <v>https://transparencia.cidesi.mx/comprobantes/2021/CQ2100934 /C4EF3C57CB-BCB8-4245-B913-72D9BD7D865B.pdf</v>
      </c>
      <c r="AN224" t="str">
        <f>HYPERLINK("https://transparencia.cidesi.mx/comprobantes/2021/CQ2100934 /C4EF3C57CB-BCB8-4245-B913-72D9BD7D865B.pdf")</f>
        <v>https://transparencia.cidesi.mx/comprobantes/2021/CQ2100934 /C4EF3C57CB-BCB8-4245-B913-72D9BD7D865B.pdf</v>
      </c>
      <c r="AO224" t="str">
        <f>HYPERLINK("https://transparencia.cidesi.mx/comprobantes/2021/CQ2100934 /C4EF3C57CB-BCB8-4245-B913-72D9BD7D865B.xml")</f>
        <v>https://transparencia.cidesi.mx/comprobantes/2021/CQ2100934 /C4EF3C57CB-BCB8-4245-B913-72D9BD7D865B.xml</v>
      </c>
      <c r="AP224" t="s">
        <v>592</v>
      </c>
      <c r="AQ224" t="s">
        <v>593</v>
      </c>
      <c r="AR224" t="s">
        <v>594</v>
      </c>
      <c r="AS224" t="s">
        <v>595</v>
      </c>
      <c r="AT224" s="1">
        <v>44473</v>
      </c>
      <c r="AU224" s="1">
        <v>44473</v>
      </c>
    </row>
    <row r="225" spans="1:47" x14ac:dyDescent="0.3">
      <c r="A225" t="s">
        <v>47</v>
      </c>
      <c r="B225" t="s">
        <v>48</v>
      </c>
      <c r="C225" t="s">
        <v>392</v>
      </c>
      <c r="D225">
        <v>483</v>
      </c>
      <c r="E225" t="s">
        <v>536</v>
      </c>
      <c r="F225" t="s">
        <v>537</v>
      </c>
      <c r="G225" t="s">
        <v>538</v>
      </c>
      <c r="H225" t="s">
        <v>588</v>
      </c>
      <c r="I225" t="s">
        <v>54</v>
      </c>
      <c r="J225" t="s">
        <v>589</v>
      </c>
      <c r="K225" t="s">
        <v>56</v>
      </c>
      <c r="L225">
        <v>0</v>
      </c>
      <c r="M225" t="s">
        <v>73</v>
      </c>
      <c r="N225">
        <v>0</v>
      </c>
      <c r="O225" t="s">
        <v>58</v>
      </c>
      <c r="P225" t="s">
        <v>59</v>
      </c>
      <c r="Q225" t="s">
        <v>590</v>
      </c>
      <c r="R225" t="s">
        <v>589</v>
      </c>
      <c r="S225" s="1">
        <v>44462</v>
      </c>
      <c r="T225" s="1">
        <v>44464</v>
      </c>
      <c r="U225">
        <v>37501</v>
      </c>
      <c r="V225" t="s">
        <v>61</v>
      </c>
      <c r="W225" t="s">
        <v>591</v>
      </c>
      <c r="X225" s="1">
        <v>44473</v>
      </c>
      <c r="Y225" t="s">
        <v>63</v>
      </c>
      <c r="Z225">
        <v>180.18</v>
      </c>
      <c r="AA225">
        <v>16</v>
      </c>
      <c r="AB225">
        <v>28.82</v>
      </c>
      <c r="AC225">
        <v>0</v>
      </c>
      <c r="AD225">
        <v>209</v>
      </c>
      <c r="AE225">
        <v>1375.5</v>
      </c>
      <c r="AF225">
        <v>2727</v>
      </c>
      <c r="AG225" t="s">
        <v>542</v>
      </c>
      <c r="AH225" t="s">
        <v>65</v>
      </c>
      <c r="AI225" t="s">
        <v>65</v>
      </c>
      <c r="AJ225" t="s">
        <v>66</v>
      </c>
      <c r="AK225" t="s">
        <v>66</v>
      </c>
      <c r="AL225" t="s">
        <v>66</v>
      </c>
      <c r="AM225" s="2" t="str">
        <f>HYPERLINK("https://transparencia.cidesi.mx/comprobantes/2021/CQ2100934 /C5ba2596cf-1f45-4cc8-a5bd-c281405df0e0.pdf")</f>
        <v>https://transparencia.cidesi.mx/comprobantes/2021/CQ2100934 /C5ba2596cf-1f45-4cc8-a5bd-c281405df0e0.pdf</v>
      </c>
      <c r="AN225" t="str">
        <f>HYPERLINK("https://transparencia.cidesi.mx/comprobantes/2021/CQ2100934 /C5ba2596cf-1f45-4cc8-a5bd-c281405df0e0.pdf")</f>
        <v>https://transparencia.cidesi.mx/comprobantes/2021/CQ2100934 /C5ba2596cf-1f45-4cc8-a5bd-c281405df0e0.pdf</v>
      </c>
      <c r="AO225" t="str">
        <f>HYPERLINK("https://transparencia.cidesi.mx/comprobantes/2021/CQ2100934 /C5ba2596cf-1f45-4cc8-a5bd-c281405df0e0.xml")</f>
        <v>https://transparencia.cidesi.mx/comprobantes/2021/CQ2100934 /C5ba2596cf-1f45-4cc8-a5bd-c281405df0e0.xml</v>
      </c>
      <c r="AP225" t="s">
        <v>592</v>
      </c>
      <c r="AQ225" t="s">
        <v>593</v>
      </c>
      <c r="AR225" t="s">
        <v>594</v>
      </c>
      <c r="AS225" t="s">
        <v>595</v>
      </c>
      <c r="AT225" s="1">
        <v>44473</v>
      </c>
      <c r="AU225" s="1">
        <v>44473</v>
      </c>
    </row>
    <row r="226" spans="1:47" x14ac:dyDescent="0.3">
      <c r="A226" t="s">
        <v>47</v>
      </c>
      <c r="B226" t="s">
        <v>48</v>
      </c>
      <c r="C226" t="s">
        <v>392</v>
      </c>
      <c r="D226">
        <v>483</v>
      </c>
      <c r="E226" t="s">
        <v>536</v>
      </c>
      <c r="F226" t="s">
        <v>537</v>
      </c>
      <c r="G226" t="s">
        <v>538</v>
      </c>
      <c r="H226" t="s">
        <v>588</v>
      </c>
      <c r="I226" t="s">
        <v>54</v>
      </c>
      <c r="J226" t="s">
        <v>589</v>
      </c>
      <c r="K226" t="s">
        <v>56</v>
      </c>
      <c r="L226">
        <v>0</v>
      </c>
      <c r="M226" t="s">
        <v>73</v>
      </c>
      <c r="N226">
        <v>0</v>
      </c>
      <c r="O226" t="s">
        <v>58</v>
      </c>
      <c r="P226" t="s">
        <v>59</v>
      </c>
      <c r="Q226" t="s">
        <v>590</v>
      </c>
      <c r="R226" t="s">
        <v>589</v>
      </c>
      <c r="S226" s="1">
        <v>44462</v>
      </c>
      <c r="T226" s="1">
        <v>44464</v>
      </c>
      <c r="U226">
        <v>37501</v>
      </c>
      <c r="V226" t="s">
        <v>61</v>
      </c>
      <c r="W226" t="s">
        <v>591</v>
      </c>
      <c r="X226" s="1">
        <v>44473</v>
      </c>
      <c r="Y226" t="s">
        <v>63</v>
      </c>
      <c r="Z226">
        <v>106.89</v>
      </c>
      <c r="AA226">
        <v>16</v>
      </c>
      <c r="AB226">
        <v>17.11</v>
      </c>
      <c r="AC226">
        <v>0</v>
      </c>
      <c r="AD226">
        <v>124</v>
      </c>
      <c r="AE226">
        <v>1375.5</v>
      </c>
      <c r="AF226">
        <v>2727</v>
      </c>
      <c r="AG226" t="s">
        <v>542</v>
      </c>
      <c r="AH226" t="s">
        <v>65</v>
      </c>
      <c r="AI226" t="s">
        <v>65</v>
      </c>
      <c r="AJ226" t="s">
        <v>66</v>
      </c>
      <c r="AK226" t="s">
        <v>66</v>
      </c>
      <c r="AL226" t="s">
        <v>66</v>
      </c>
      <c r="AM226" s="2" t="str">
        <f>HYPERLINK("https://transparencia.cidesi.mx/comprobantes/2021/CQ2100934 /C66ba755b1-81ed-4566-9d4a-99c917d2195a.pdf")</f>
        <v>https://transparencia.cidesi.mx/comprobantes/2021/CQ2100934 /C66ba755b1-81ed-4566-9d4a-99c917d2195a.pdf</v>
      </c>
      <c r="AN226" t="str">
        <f>HYPERLINK("https://transparencia.cidesi.mx/comprobantes/2021/CQ2100934 /C66ba755b1-81ed-4566-9d4a-99c917d2195a.pdf")</f>
        <v>https://transparencia.cidesi.mx/comprobantes/2021/CQ2100934 /C66ba755b1-81ed-4566-9d4a-99c917d2195a.pdf</v>
      </c>
      <c r="AO226" t="str">
        <f>HYPERLINK("https://transparencia.cidesi.mx/comprobantes/2021/CQ2100934 /C66ba755b1-81ed-4566-9d4a-99c917d2195a.xml")</f>
        <v>https://transparencia.cidesi.mx/comprobantes/2021/CQ2100934 /C66ba755b1-81ed-4566-9d4a-99c917d2195a.xml</v>
      </c>
      <c r="AP226" t="s">
        <v>592</v>
      </c>
      <c r="AQ226" t="s">
        <v>593</v>
      </c>
      <c r="AR226" t="s">
        <v>594</v>
      </c>
      <c r="AS226" t="s">
        <v>595</v>
      </c>
      <c r="AT226" s="1">
        <v>44473</v>
      </c>
      <c r="AU226" s="1">
        <v>44473</v>
      </c>
    </row>
    <row r="227" spans="1:47" x14ac:dyDescent="0.3">
      <c r="A227" t="s">
        <v>47</v>
      </c>
      <c r="B227" t="s">
        <v>48</v>
      </c>
      <c r="C227" t="s">
        <v>392</v>
      </c>
      <c r="D227">
        <v>483</v>
      </c>
      <c r="E227" t="s">
        <v>536</v>
      </c>
      <c r="F227" t="s">
        <v>537</v>
      </c>
      <c r="G227" t="s">
        <v>538</v>
      </c>
      <c r="H227" t="s">
        <v>588</v>
      </c>
      <c r="I227" t="s">
        <v>54</v>
      </c>
      <c r="J227" t="s">
        <v>589</v>
      </c>
      <c r="K227" t="s">
        <v>56</v>
      </c>
      <c r="L227">
        <v>0</v>
      </c>
      <c r="M227" t="s">
        <v>73</v>
      </c>
      <c r="N227">
        <v>0</v>
      </c>
      <c r="O227" t="s">
        <v>58</v>
      </c>
      <c r="P227" t="s">
        <v>59</v>
      </c>
      <c r="Q227" t="s">
        <v>590</v>
      </c>
      <c r="R227" t="s">
        <v>589</v>
      </c>
      <c r="S227" s="1">
        <v>44462</v>
      </c>
      <c r="T227" s="1">
        <v>44464</v>
      </c>
      <c r="U227">
        <v>37501</v>
      </c>
      <c r="V227" t="s">
        <v>61</v>
      </c>
      <c r="W227" t="s">
        <v>591</v>
      </c>
      <c r="X227" s="1">
        <v>44473</v>
      </c>
      <c r="Y227" t="s">
        <v>63</v>
      </c>
      <c r="Z227">
        <v>262.93</v>
      </c>
      <c r="AA227">
        <v>16</v>
      </c>
      <c r="AB227">
        <v>42.07</v>
      </c>
      <c r="AC227">
        <v>0</v>
      </c>
      <c r="AD227">
        <v>305</v>
      </c>
      <c r="AE227">
        <v>1375.5</v>
      </c>
      <c r="AF227">
        <v>2727</v>
      </c>
      <c r="AG227" t="s">
        <v>542</v>
      </c>
      <c r="AH227" t="s">
        <v>65</v>
      </c>
      <c r="AI227" t="s">
        <v>65</v>
      </c>
      <c r="AJ227" t="s">
        <v>66</v>
      </c>
      <c r="AK227" t="s">
        <v>66</v>
      </c>
      <c r="AL227" t="s">
        <v>66</v>
      </c>
      <c r="AM227" s="2" t="str">
        <f>HYPERLINK("https://transparencia.cidesi.mx/comprobantes/2021/CQ2100934 /C7TIA1203081F7FF15541.pdf")</f>
        <v>https://transparencia.cidesi.mx/comprobantes/2021/CQ2100934 /C7TIA1203081F7FF15541.pdf</v>
      </c>
      <c r="AN227" t="str">
        <f>HYPERLINK("https://transparencia.cidesi.mx/comprobantes/2021/CQ2100934 /C7TIA1203081F7FF15541.pdf")</f>
        <v>https://transparencia.cidesi.mx/comprobantes/2021/CQ2100934 /C7TIA1203081F7FF15541.pdf</v>
      </c>
      <c r="AO227" t="str">
        <f>HYPERLINK("https://transparencia.cidesi.mx/comprobantes/2021/CQ2100934 /C7TIA1203081F7FF15541.xml")</f>
        <v>https://transparencia.cidesi.mx/comprobantes/2021/CQ2100934 /C7TIA1203081F7FF15541.xml</v>
      </c>
      <c r="AP227" t="s">
        <v>592</v>
      </c>
      <c r="AQ227" t="s">
        <v>593</v>
      </c>
      <c r="AR227" t="s">
        <v>594</v>
      </c>
      <c r="AS227" t="s">
        <v>595</v>
      </c>
      <c r="AT227" s="1">
        <v>44473</v>
      </c>
      <c r="AU227" s="1">
        <v>44473</v>
      </c>
    </row>
    <row r="228" spans="1:47" x14ac:dyDescent="0.3">
      <c r="A228" t="s">
        <v>47</v>
      </c>
      <c r="B228" t="s">
        <v>48</v>
      </c>
      <c r="C228" t="s">
        <v>392</v>
      </c>
      <c r="D228">
        <v>483</v>
      </c>
      <c r="E228" t="s">
        <v>536</v>
      </c>
      <c r="F228" t="s">
        <v>537</v>
      </c>
      <c r="G228" t="s">
        <v>538</v>
      </c>
      <c r="H228" t="s">
        <v>588</v>
      </c>
      <c r="I228" t="s">
        <v>54</v>
      </c>
      <c r="J228" t="s">
        <v>589</v>
      </c>
      <c r="K228" t="s">
        <v>56</v>
      </c>
      <c r="L228">
        <v>0</v>
      </c>
      <c r="M228" t="s">
        <v>73</v>
      </c>
      <c r="N228">
        <v>0</v>
      </c>
      <c r="O228" t="s">
        <v>58</v>
      </c>
      <c r="P228" t="s">
        <v>59</v>
      </c>
      <c r="Q228" t="s">
        <v>590</v>
      </c>
      <c r="R228" t="s">
        <v>589</v>
      </c>
      <c r="S228" s="1">
        <v>44462</v>
      </c>
      <c r="T228" s="1">
        <v>44464</v>
      </c>
      <c r="U228">
        <v>37501</v>
      </c>
      <c r="V228" t="s">
        <v>104</v>
      </c>
      <c r="W228" t="s">
        <v>591</v>
      </c>
      <c r="X228" s="1">
        <v>44473</v>
      </c>
      <c r="Y228" t="s">
        <v>63</v>
      </c>
      <c r="Z228">
        <v>345.76</v>
      </c>
      <c r="AA228">
        <v>16</v>
      </c>
      <c r="AB228">
        <v>54.24</v>
      </c>
      <c r="AC228">
        <v>0</v>
      </c>
      <c r="AD228">
        <v>400</v>
      </c>
      <c r="AE228">
        <v>1375.5</v>
      </c>
      <c r="AF228">
        <v>2727</v>
      </c>
      <c r="AG228" t="s">
        <v>548</v>
      </c>
      <c r="AH228" t="s">
        <v>65</v>
      </c>
      <c r="AI228" t="s">
        <v>65</v>
      </c>
      <c r="AJ228" t="s">
        <v>66</v>
      </c>
      <c r="AK228" t="s">
        <v>66</v>
      </c>
      <c r="AL228" t="s">
        <v>66</v>
      </c>
      <c r="AM228" s="2" t="str">
        <f>HYPERLINK("https://transparencia.cidesi.mx/comprobantes/2021/CQ2100934 /C8H_27838.pdf")</f>
        <v>https://transparencia.cidesi.mx/comprobantes/2021/CQ2100934 /C8H_27838.pdf</v>
      </c>
      <c r="AN228" t="str">
        <f>HYPERLINK("https://transparencia.cidesi.mx/comprobantes/2021/CQ2100934 /C8H_27838.pdf")</f>
        <v>https://transparencia.cidesi.mx/comprobantes/2021/CQ2100934 /C8H_27838.pdf</v>
      </c>
      <c r="AO228" t="str">
        <f>HYPERLINK("https://transparencia.cidesi.mx/comprobantes/2021/CQ2100934 /C8H_27838.xml")</f>
        <v>https://transparencia.cidesi.mx/comprobantes/2021/CQ2100934 /C8H_27838.xml</v>
      </c>
      <c r="AP228" t="s">
        <v>592</v>
      </c>
      <c r="AQ228" t="s">
        <v>593</v>
      </c>
      <c r="AR228" t="s">
        <v>594</v>
      </c>
      <c r="AS228" t="s">
        <v>595</v>
      </c>
      <c r="AT228" s="1">
        <v>44473</v>
      </c>
      <c r="AU228" s="1">
        <v>44473</v>
      </c>
    </row>
    <row r="229" spans="1:47" x14ac:dyDescent="0.3">
      <c r="A229" t="s">
        <v>246</v>
      </c>
      <c r="B229" t="s">
        <v>182</v>
      </c>
      <c r="C229" t="s">
        <v>183</v>
      </c>
      <c r="D229">
        <v>498</v>
      </c>
      <c r="E229" t="s">
        <v>596</v>
      </c>
      <c r="F229" t="s">
        <v>597</v>
      </c>
      <c r="G229" t="s">
        <v>598</v>
      </c>
      <c r="H229" t="s">
        <v>599</v>
      </c>
      <c r="I229" t="s">
        <v>54</v>
      </c>
      <c r="J229" t="s">
        <v>600</v>
      </c>
      <c r="K229" t="s">
        <v>56</v>
      </c>
      <c r="L229">
        <v>0</v>
      </c>
      <c r="M229" t="s">
        <v>73</v>
      </c>
      <c r="N229">
        <v>0</v>
      </c>
      <c r="O229" t="s">
        <v>58</v>
      </c>
      <c r="P229" t="s">
        <v>59</v>
      </c>
      <c r="Q229" t="s">
        <v>601</v>
      </c>
      <c r="R229" t="s">
        <v>600</v>
      </c>
      <c r="S229" s="1">
        <v>44385</v>
      </c>
      <c r="T229" s="1">
        <v>44386</v>
      </c>
      <c r="U229">
        <v>37501</v>
      </c>
      <c r="V229" t="s">
        <v>104</v>
      </c>
      <c r="W229" t="s">
        <v>602</v>
      </c>
      <c r="X229" s="1">
        <v>44396</v>
      </c>
      <c r="Y229" t="s">
        <v>100</v>
      </c>
      <c r="Z229">
        <v>1210.97</v>
      </c>
      <c r="AA229">
        <v>16</v>
      </c>
      <c r="AB229">
        <v>189.03</v>
      </c>
      <c r="AC229">
        <v>0</v>
      </c>
      <c r="AD229">
        <v>1400</v>
      </c>
      <c r="AE229">
        <v>1400</v>
      </c>
      <c r="AF229">
        <v>1636</v>
      </c>
      <c r="AG229" t="s">
        <v>603</v>
      </c>
      <c r="AH229" t="s">
        <v>65</v>
      </c>
      <c r="AI229" t="s">
        <v>65</v>
      </c>
      <c r="AJ229" t="s">
        <v>66</v>
      </c>
      <c r="AK229" t="s">
        <v>66</v>
      </c>
      <c r="AL229" t="s">
        <v>66</v>
      </c>
      <c r="AM229" s="2" t="str">
        <f>HYPERLINK("https://transparencia.cidesi.mx/comprobantes/2021/CQ2100527 /C1MOGV730114A14FF1504.pdf")</f>
        <v>https://transparencia.cidesi.mx/comprobantes/2021/CQ2100527 /C1MOGV730114A14FF1504.pdf</v>
      </c>
      <c r="AN229" t="str">
        <f>HYPERLINK("https://transparencia.cidesi.mx/comprobantes/2021/CQ2100527 /C1MOGV730114A14FF1504.pdf")</f>
        <v>https://transparencia.cidesi.mx/comprobantes/2021/CQ2100527 /C1MOGV730114A14FF1504.pdf</v>
      </c>
      <c r="AO229" t="str">
        <f>HYPERLINK("https://transparencia.cidesi.mx/comprobantes/2021/CQ2100527 /C1MOGV730114A14FF1504.xml")</f>
        <v>https://transparencia.cidesi.mx/comprobantes/2021/CQ2100527 /C1MOGV730114A14FF1504.xml</v>
      </c>
      <c r="AP229" t="s">
        <v>604</v>
      </c>
      <c r="AQ229" t="s">
        <v>605</v>
      </c>
      <c r="AR229" t="s">
        <v>606</v>
      </c>
      <c r="AS229" t="s">
        <v>607</v>
      </c>
      <c r="AT229" s="1">
        <v>44396</v>
      </c>
      <c r="AU229" t="s">
        <v>73</v>
      </c>
    </row>
    <row r="230" spans="1:47" x14ac:dyDescent="0.3">
      <c r="A230" t="s">
        <v>246</v>
      </c>
      <c r="B230" t="s">
        <v>182</v>
      </c>
      <c r="C230" t="s">
        <v>183</v>
      </c>
      <c r="D230">
        <v>498</v>
      </c>
      <c r="E230" t="s">
        <v>596</v>
      </c>
      <c r="F230" t="s">
        <v>597</v>
      </c>
      <c r="G230" t="s">
        <v>598</v>
      </c>
      <c r="H230" t="s">
        <v>608</v>
      </c>
      <c r="I230" t="s">
        <v>54</v>
      </c>
      <c r="J230" t="s">
        <v>609</v>
      </c>
      <c r="K230" t="s">
        <v>56</v>
      </c>
      <c r="L230">
        <v>0</v>
      </c>
      <c r="M230" t="s">
        <v>73</v>
      </c>
      <c r="N230">
        <v>0</v>
      </c>
      <c r="O230" t="s">
        <v>58</v>
      </c>
      <c r="P230" t="s">
        <v>59</v>
      </c>
      <c r="Q230" t="s">
        <v>60</v>
      </c>
      <c r="R230" t="s">
        <v>609</v>
      </c>
      <c r="S230" s="1">
        <v>44389</v>
      </c>
      <c r="T230" s="1">
        <v>44389</v>
      </c>
      <c r="U230">
        <v>37501</v>
      </c>
      <c r="V230" t="s">
        <v>61</v>
      </c>
      <c r="W230" t="s">
        <v>610</v>
      </c>
      <c r="X230" s="1">
        <v>44391</v>
      </c>
      <c r="Y230" t="s">
        <v>63</v>
      </c>
      <c r="Z230">
        <v>260.33999999999997</v>
      </c>
      <c r="AA230">
        <v>16</v>
      </c>
      <c r="AB230">
        <v>41.66</v>
      </c>
      <c r="AC230">
        <v>30</v>
      </c>
      <c r="AD230">
        <v>332</v>
      </c>
      <c r="AE230">
        <v>516</v>
      </c>
      <c r="AF230">
        <v>545</v>
      </c>
      <c r="AG230" t="s">
        <v>611</v>
      </c>
      <c r="AH230" t="s">
        <v>65</v>
      </c>
      <c r="AI230" t="s">
        <v>65</v>
      </c>
      <c r="AJ230" t="s">
        <v>66</v>
      </c>
      <c r="AK230" t="s">
        <v>66</v>
      </c>
      <c r="AL230" t="s">
        <v>66</v>
      </c>
      <c r="AM230" s="2" t="str">
        <f>HYPERLINK("https://transparencia.cidesi.mx/comprobantes/2021/CQ2100507 /C169061885.pdf")</f>
        <v>https://transparencia.cidesi.mx/comprobantes/2021/CQ2100507 /C169061885.pdf</v>
      </c>
      <c r="AN230" t="str">
        <f>HYPERLINK("https://transparencia.cidesi.mx/comprobantes/2021/CQ2100507 /C169061885.pdf")</f>
        <v>https://transparencia.cidesi.mx/comprobantes/2021/CQ2100507 /C169061885.pdf</v>
      </c>
      <c r="AO230" t="str">
        <f>HYPERLINK("https://transparencia.cidesi.mx/comprobantes/2021/CQ2100507 /C169061885.xml")</f>
        <v>https://transparencia.cidesi.mx/comprobantes/2021/CQ2100507 /C169061885.xml</v>
      </c>
      <c r="AP230" t="s">
        <v>612</v>
      </c>
      <c r="AQ230" t="s">
        <v>613</v>
      </c>
      <c r="AR230" t="s">
        <v>614</v>
      </c>
      <c r="AS230" t="s">
        <v>615</v>
      </c>
      <c r="AT230" s="1">
        <v>44396</v>
      </c>
      <c r="AU230" s="1">
        <v>44396</v>
      </c>
    </row>
    <row r="231" spans="1:47" x14ac:dyDescent="0.3">
      <c r="A231" t="s">
        <v>246</v>
      </c>
      <c r="B231" t="s">
        <v>182</v>
      </c>
      <c r="C231" t="s">
        <v>183</v>
      </c>
      <c r="D231">
        <v>498</v>
      </c>
      <c r="E231" t="s">
        <v>596</v>
      </c>
      <c r="F231" t="s">
        <v>597</v>
      </c>
      <c r="G231" t="s">
        <v>598</v>
      </c>
      <c r="H231" t="s">
        <v>608</v>
      </c>
      <c r="I231" t="s">
        <v>54</v>
      </c>
      <c r="J231" t="s">
        <v>609</v>
      </c>
      <c r="K231" t="s">
        <v>56</v>
      </c>
      <c r="L231">
        <v>0</v>
      </c>
      <c r="M231" t="s">
        <v>73</v>
      </c>
      <c r="N231">
        <v>0</v>
      </c>
      <c r="O231" t="s">
        <v>58</v>
      </c>
      <c r="P231" t="s">
        <v>59</v>
      </c>
      <c r="Q231" t="s">
        <v>60</v>
      </c>
      <c r="R231" t="s">
        <v>609</v>
      </c>
      <c r="S231" s="1">
        <v>44389</v>
      </c>
      <c r="T231" s="1">
        <v>44389</v>
      </c>
      <c r="U231">
        <v>37501</v>
      </c>
      <c r="V231" t="s">
        <v>61</v>
      </c>
      <c r="W231" t="s">
        <v>610</v>
      </c>
      <c r="X231" s="1">
        <v>44391</v>
      </c>
      <c r="Y231" t="s">
        <v>63</v>
      </c>
      <c r="Z231">
        <v>144.83000000000001</v>
      </c>
      <c r="AA231">
        <v>16</v>
      </c>
      <c r="AB231">
        <v>23.17</v>
      </c>
      <c r="AC231">
        <v>16</v>
      </c>
      <c r="AD231">
        <v>184</v>
      </c>
      <c r="AE231">
        <v>516</v>
      </c>
      <c r="AF231">
        <v>545</v>
      </c>
      <c r="AG231" t="s">
        <v>611</v>
      </c>
      <c r="AH231" t="s">
        <v>65</v>
      </c>
      <c r="AI231" t="s">
        <v>65</v>
      </c>
      <c r="AJ231" t="s">
        <v>66</v>
      </c>
      <c r="AK231" t="s">
        <v>66</v>
      </c>
      <c r="AL231" t="s">
        <v>66</v>
      </c>
      <c r="AM231" s="2" t="str">
        <f>HYPERLINK("https://transparencia.cidesi.mx/comprobantes/2021/CQ2100507 /C2MSG_004547653_BI_24470.pdf")</f>
        <v>https://transparencia.cidesi.mx/comprobantes/2021/CQ2100507 /C2MSG_004547653_BI_24470.pdf</v>
      </c>
      <c r="AN231" t="str">
        <f>HYPERLINK("https://transparencia.cidesi.mx/comprobantes/2021/CQ2100507 /C2MSG_004547653_BI_24470.pdf")</f>
        <v>https://transparencia.cidesi.mx/comprobantes/2021/CQ2100507 /C2MSG_004547653_BI_24470.pdf</v>
      </c>
      <c r="AO231" t="str">
        <f>HYPERLINK("https://transparencia.cidesi.mx/comprobantes/2021/CQ2100507 /C2MSG_004547653_BI_24470.xml")</f>
        <v>https://transparencia.cidesi.mx/comprobantes/2021/CQ2100507 /C2MSG_004547653_BI_24470.xml</v>
      </c>
      <c r="AP231" t="s">
        <v>612</v>
      </c>
      <c r="AQ231" t="s">
        <v>613</v>
      </c>
      <c r="AR231" t="s">
        <v>614</v>
      </c>
      <c r="AS231" t="s">
        <v>615</v>
      </c>
      <c r="AT231" s="1">
        <v>44396</v>
      </c>
      <c r="AU231" s="1">
        <v>44396</v>
      </c>
    </row>
    <row r="232" spans="1:47" x14ac:dyDescent="0.3">
      <c r="A232" t="s">
        <v>246</v>
      </c>
      <c r="B232" t="s">
        <v>182</v>
      </c>
      <c r="C232" t="s">
        <v>183</v>
      </c>
      <c r="D232">
        <v>498</v>
      </c>
      <c r="E232" t="s">
        <v>596</v>
      </c>
      <c r="F232" t="s">
        <v>597</v>
      </c>
      <c r="G232" t="s">
        <v>598</v>
      </c>
      <c r="H232" t="s">
        <v>616</v>
      </c>
      <c r="I232" t="s">
        <v>54</v>
      </c>
      <c r="J232" t="s">
        <v>617</v>
      </c>
      <c r="K232" t="s">
        <v>56</v>
      </c>
      <c r="L232">
        <v>0</v>
      </c>
      <c r="M232" t="s">
        <v>73</v>
      </c>
      <c r="N232">
        <v>0</v>
      </c>
      <c r="O232" t="s">
        <v>58</v>
      </c>
      <c r="P232" t="s">
        <v>59</v>
      </c>
      <c r="Q232" t="s">
        <v>60</v>
      </c>
      <c r="R232" t="s">
        <v>617</v>
      </c>
      <c r="S232" s="1">
        <v>44417</v>
      </c>
      <c r="T232" s="1">
        <v>44417</v>
      </c>
      <c r="U232">
        <v>37501</v>
      </c>
      <c r="V232" t="s">
        <v>61</v>
      </c>
      <c r="W232" t="s">
        <v>618</v>
      </c>
      <c r="X232" s="1">
        <v>44420</v>
      </c>
      <c r="Y232" t="s">
        <v>63</v>
      </c>
      <c r="Z232">
        <v>266.38</v>
      </c>
      <c r="AA232">
        <v>16</v>
      </c>
      <c r="AB232">
        <v>42.62</v>
      </c>
      <c r="AC232">
        <v>30.9</v>
      </c>
      <c r="AD232">
        <v>339.9</v>
      </c>
      <c r="AE232">
        <v>493.9</v>
      </c>
      <c r="AF232">
        <v>545</v>
      </c>
      <c r="AG232" t="s">
        <v>611</v>
      </c>
      <c r="AH232" t="s">
        <v>65</v>
      </c>
      <c r="AI232" t="s">
        <v>65</v>
      </c>
      <c r="AJ232" t="s">
        <v>66</v>
      </c>
      <c r="AK232" t="s">
        <v>66</v>
      </c>
      <c r="AL232" t="s">
        <v>66</v>
      </c>
      <c r="AM232" s="2" t="str">
        <f>HYPERLINK("https://transparencia.cidesi.mx/comprobantes/2021/CQ2100637 /C169628443.pdf")</f>
        <v>https://transparencia.cidesi.mx/comprobantes/2021/CQ2100637 /C169628443.pdf</v>
      </c>
      <c r="AN232" t="str">
        <f>HYPERLINK("https://transparencia.cidesi.mx/comprobantes/2021/CQ2100637 /C169628443.pdf")</f>
        <v>https://transparencia.cidesi.mx/comprobantes/2021/CQ2100637 /C169628443.pdf</v>
      </c>
      <c r="AO232" t="str">
        <f>HYPERLINK("https://transparencia.cidesi.mx/comprobantes/2021/CQ2100637 /C169628443.xml")</f>
        <v>https://transparencia.cidesi.mx/comprobantes/2021/CQ2100637 /C169628443.xml</v>
      </c>
      <c r="AP232" t="s">
        <v>619</v>
      </c>
      <c r="AQ232" t="s">
        <v>620</v>
      </c>
      <c r="AR232" t="s">
        <v>621</v>
      </c>
      <c r="AS232" t="s">
        <v>622</v>
      </c>
      <c r="AT232" s="1">
        <v>44421</v>
      </c>
      <c r="AU232" s="1">
        <v>44424</v>
      </c>
    </row>
    <row r="233" spans="1:47" x14ac:dyDescent="0.3">
      <c r="A233" t="s">
        <v>246</v>
      </c>
      <c r="B233" t="s">
        <v>182</v>
      </c>
      <c r="C233" t="s">
        <v>183</v>
      </c>
      <c r="D233">
        <v>498</v>
      </c>
      <c r="E233" t="s">
        <v>596</v>
      </c>
      <c r="F233" t="s">
        <v>597</v>
      </c>
      <c r="G233" t="s">
        <v>598</v>
      </c>
      <c r="H233" t="s">
        <v>616</v>
      </c>
      <c r="I233" t="s">
        <v>54</v>
      </c>
      <c r="J233" t="s">
        <v>617</v>
      </c>
      <c r="K233" t="s">
        <v>56</v>
      </c>
      <c r="L233">
        <v>0</v>
      </c>
      <c r="M233" t="s">
        <v>73</v>
      </c>
      <c r="N233">
        <v>0</v>
      </c>
      <c r="O233" t="s">
        <v>58</v>
      </c>
      <c r="P233" t="s">
        <v>59</v>
      </c>
      <c r="Q233" t="s">
        <v>60</v>
      </c>
      <c r="R233" t="s">
        <v>617</v>
      </c>
      <c r="S233" s="1">
        <v>44417</v>
      </c>
      <c r="T233" s="1">
        <v>44417</v>
      </c>
      <c r="U233">
        <v>37501</v>
      </c>
      <c r="V233" t="s">
        <v>61</v>
      </c>
      <c r="W233" t="s">
        <v>618</v>
      </c>
      <c r="X233" s="1">
        <v>44420</v>
      </c>
      <c r="Y233" t="s">
        <v>63</v>
      </c>
      <c r="Z233">
        <v>120.69</v>
      </c>
      <c r="AA233">
        <v>16</v>
      </c>
      <c r="AB233">
        <v>19.309999999999999</v>
      </c>
      <c r="AC233">
        <v>14</v>
      </c>
      <c r="AD233">
        <v>154</v>
      </c>
      <c r="AE233">
        <v>493.9</v>
      </c>
      <c r="AF233">
        <v>545</v>
      </c>
      <c r="AG233" t="s">
        <v>611</v>
      </c>
      <c r="AH233" t="s">
        <v>65</v>
      </c>
      <c r="AI233" t="s">
        <v>65</v>
      </c>
      <c r="AJ233" t="s">
        <v>66</v>
      </c>
      <c r="AK233" t="s">
        <v>66</v>
      </c>
      <c r="AL233" t="s">
        <v>66</v>
      </c>
      <c r="AM233" s="2" t="str">
        <f>HYPERLINK("https://transparencia.cidesi.mx/comprobantes/2021/CQ2100637 /C2MSG_004628243_BI_24748.pdf")</f>
        <v>https://transparencia.cidesi.mx/comprobantes/2021/CQ2100637 /C2MSG_004628243_BI_24748.pdf</v>
      </c>
      <c r="AN233" t="str">
        <f>HYPERLINK("https://transparencia.cidesi.mx/comprobantes/2021/CQ2100637 /C2MSG_004628243_BI_24748.pdf")</f>
        <v>https://transparencia.cidesi.mx/comprobantes/2021/CQ2100637 /C2MSG_004628243_BI_24748.pdf</v>
      </c>
      <c r="AO233" t="str">
        <f>HYPERLINK("https://transparencia.cidesi.mx/comprobantes/2021/CQ2100637 /C2MSG_004628243_BI_24748.xml")</f>
        <v>https://transparencia.cidesi.mx/comprobantes/2021/CQ2100637 /C2MSG_004628243_BI_24748.xml</v>
      </c>
      <c r="AP233" t="s">
        <v>619</v>
      </c>
      <c r="AQ233" t="s">
        <v>620</v>
      </c>
      <c r="AR233" t="s">
        <v>621</v>
      </c>
      <c r="AS233" t="s">
        <v>622</v>
      </c>
      <c r="AT233" s="1">
        <v>44421</v>
      </c>
      <c r="AU233" s="1">
        <v>44424</v>
      </c>
    </row>
    <row r="234" spans="1:47" x14ac:dyDescent="0.3">
      <c r="A234" t="s">
        <v>246</v>
      </c>
      <c r="B234" t="s">
        <v>182</v>
      </c>
      <c r="C234" t="s">
        <v>183</v>
      </c>
      <c r="D234">
        <v>498</v>
      </c>
      <c r="E234" t="s">
        <v>596</v>
      </c>
      <c r="F234" t="s">
        <v>597</v>
      </c>
      <c r="G234" t="s">
        <v>598</v>
      </c>
      <c r="H234" t="s">
        <v>623</v>
      </c>
      <c r="I234" t="s">
        <v>54</v>
      </c>
      <c r="J234" t="s">
        <v>624</v>
      </c>
      <c r="K234" t="s">
        <v>56</v>
      </c>
      <c r="L234">
        <v>0</v>
      </c>
      <c r="M234" t="s">
        <v>73</v>
      </c>
      <c r="N234">
        <v>0</v>
      </c>
      <c r="O234" t="s">
        <v>58</v>
      </c>
      <c r="P234" t="s">
        <v>59</v>
      </c>
      <c r="Q234" t="s">
        <v>60</v>
      </c>
      <c r="R234" t="s">
        <v>624</v>
      </c>
      <c r="S234" s="1">
        <v>44424</v>
      </c>
      <c r="T234" s="1">
        <v>44430</v>
      </c>
      <c r="U234">
        <v>37501</v>
      </c>
      <c r="V234" t="s">
        <v>104</v>
      </c>
      <c r="W234" t="s">
        <v>625</v>
      </c>
      <c r="X234" s="1">
        <v>44438</v>
      </c>
      <c r="Y234" t="s">
        <v>100</v>
      </c>
      <c r="Z234">
        <v>2850.42</v>
      </c>
      <c r="AA234">
        <v>16</v>
      </c>
      <c r="AB234">
        <v>430.25</v>
      </c>
      <c r="AC234">
        <v>0</v>
      </c>
      <c r="AD234">
        <v>3280.67</v>
      </c>
      <c r="AE234">
        <v>5462.37</v>
      </c>
      <c r="AF234">
        <v>7091</v>
      </c>
      <c r="AG234" t="s">
        <v>603</v>
      </c>
      <c r="AH234" t="s">
        <v>65</v>
      </c>
      <c r="AI234" t="s">
        <v>65</v>
      </c>
      <c r="AJ234" t="s">
        <v>66</v>
      </c>
      <c r="AK234" t="s">
        <v>66</v>
      </c>
      <c r="AL234" t="s">
        <v>66</v>
      </c>
      <c r="AM234" s="2" t="str">
        <f>HYPERLINK("https://transparencia.cidesi.mx/comprobantes/2021/CQ2100702 /C1B093 a2148f2e-4d5e-46dd-8e4a-58e4100f3f74.pdf")</f>
        <v>https://transparencia.cidesi.mx/comprobantes/2021/CQ2100702 /C1B093 a2148f2e-4d5e-46dd-8e4a-58e4100f3f74.pdf</v>
      </c>
      <c r="AN234" t="str">
        <f>HYPERLINK("https://transparencia.cidesi.mx/comprobantes/2021/CQ2100702 /C1B093 a2148f2e-4d5e-46dd-8e4a-58e4100f3f74.pdf")</f>
        <v>https://transparencia.cidesi.mx/comprobantes/2021/CQ2100702 /C1B093 a2148f2e-4d5e-46dd-8e4a-58e4100f3f74.pdf</v>
      </c>
      <c r="AO234" t="str">
        <f>HYPERLINK("https://transparencia.cidesi.mx/comprobantes/2021/CQ2100702 /C1B093 a2148f2e-4d5e-46dd-8e4a-58e4100f3f74.xml")</f>
        <v>https://transparencia.cidesi.mx/comprobantes/2021/CQ2100702 /C1B093 a2148f2e-4d5e-46dd-8e4a-58e4100f3f74.xml</v>
      </c>
      <c r="AP234" t="s">
        <v>626</v>
      </c>
      <c r="AQ234" t="s">
        <v>627</v>
      </c>
      <c r="AR234" t="s">
        <v>628</v>
      </c>
      <c r="AS234" t="s">
        <v>615</v>
      </c>
      <c r="AT234" s="1">
        <v>44438</v>
      </c>
      <c r="AU234" t="s">
        <v>73</v>
      </c>
    </row>
    <row r="235" spans="1:47" x14ac:dyDescent="0.3">
      <c r="A235" t="s">
        <v>246</v>
      </c>
      <c r="B235" t="s">
        <v>182</v>
      </c>
      <c r="C235" t="s">
        <v>183</v>
      </c>
      <c r="D235">
        <v>498</v>
      </c>
      <c r="E235" t="s">
        <v>596</v>
      </c>
      <c r="F235" t="s">
        <v>597</v>
      </c>
      <c r="G235" t="s">
        <v>598</v>
      </c>
      <c r="H235" t="s">
        <v>623</v>
      </c>
      <c r="I235" t="s">
        <v>54</v>
      </c>
      <c r="J235" t="s">
        <v>624</v>
      </c>
      <c r="K235" t="s">
        <v>56</v>
      </c>
      <c r="L235">
        <v>0</v>
      </c>
      <c r="M235" t="s">
        <v>73</v>
      </c>
      <c r="N235">
        <v>0</v>
      </c>
      <c r="O235" t="s">
        <v>58</v>
      </c>
      <c r="P235" t="s">
        <v>59</v>
      </c>
      <c r="Q235" t="s">
        <v>60</v>
      </c>
      <c r="R235" t="s">
        <v>624</v>
      </c>
      <c r="S235" s="1">
        <v>44424</v>
      </c>
      <c r="T235" s="1">
        <v>44430</v>
      </c>
      <c r="U235">
        <v>37501</v>
      </c>
      <c r="V235" t="s">
        <v>61</v>
      </c>
      <c r="W235" t="s">
        <v>625</v>
      </c>
      <c r="X235" s="1">
        <v>44438</v>
      </c>
      <c r="Y235" t="s">
        <v>100</v>
      </c>
      <c r="Z235">
        <v>203.45</v>
      </c>
      <c r="AA235">
        <v>16</v>
      </c>
      <c r="AB235">
        <v>32.549999999999997</v>
      </c>
      <c r="AC235">
        <v>23</v>
      </c>
      <c r="AD235">
        <v>259</v>
      </c>
      <c r="AE235">
        <v>5462.37</v>
      </c>
      <c r="AF235">
        <v>7091</v>
      </c>
      <c r="AG235" t="s">
        <v>611</v>
      </c>
      <c r="AH235" t="s">
        <v>65</v>
      </c>
      <c r="AI235" t="s">
        <v>65</v>
      </c>
      <c r="AJ235" t="s">
        <v>66</v>
      </c>
      <c r="AK235" t="s">
        <v>66</v>
      </c>
      <c r="AL235" t="s">
        <v>66</v>
      </c>
      <c r="AM235" s="2" t="str">
        <f>HYPERLINK("https://transparencia.cidesi.mx/comprobantes/2021/CQ2100702 /C2MSG_004688050_BI_24894.pdf")</f>
        <v>https://transparencia.cidesi.mx/comprobantes/2021/CQ2100702 /C2MSG_004688050_BI_24894.pdf</v>
      </c>
      <c r="AN235" t="str">
        <f>HYPERLINK("https://transparencia.cidesi.mx/comprobantes/2021/CQ2100702 /C2MSG_004688050_BI_24894.pdf")</f>
        <v>https://transparencia.cidesi.mx/comprobantes/2021/CQ2100702 /C2MSG_004688050_BI_24894.pdf</v>
      </c>
      <c r="AO235" t="str">
        <f>HYPERLINK("https://transparencia.cidesi.mx/comprobantes/2021/CQ2100702 /C2MSG_004688050_BI_24894.xml")</f>
        <v>https://transparencia.cidesi.mx/comprobantes/2021/CQ2100702 /C2MSG_004688050_BI_24894.xml</v>
      </c>
      <c r="AP235" t="s">
        <v>626</v>
      </c>
      <c r="AQ235" t="s">
        <v>627</v>
      </c>
      <c r="AR235" t="s">
        <v>628</v>
      </c>
      <c r="AS235" t="s">
        <v>615</v>
      </c>
      <c r="AT235" s="1">
        <v>44438</v>
      </c>
      <c r="AU235" t="s">
        <v>73</v>
      </c>
    </row>
    <row r="236" spans="1:47" x14ac:dyDescent="0.3">
      <c r="A236" t="s">
        <v>246</v>
      </c>
      <c r="B236" t="s">
        <v>182</v>
      </c>
      <c r="C236" t="s">
        <v>183</v>
      </c>
      <c r="D236">
        <v>498</v>
      </c>
      <c r="E236" t="s">
        <v>596</v>
      </c>
      <c r="F236" t="s">
        <v>597</v>
      </c>
      <c r="G236" t="s">
        <v>598</v>
      </c>
      <c r="H236" t="s">
        <v>623</v>
      </c>
      <c r="I236" t="s">
        <v>54</v>
      </c>
      <c r="J236" t="s">
        <v>624</v>
      </c>
      <c r="K236" t="s">
        <v>56</v>
      </c>
      <c r="L236">
        <v>0</v>
      </c>
      <c r="M236" t="s">
        <v>73</v>
      </c>
      <c r="N236">
        <v>0</v>
      </c>
      <c r="O236" t="s">
        <v>58</v>
      </c>
      <c r="P236" t="s">
        <v>59</v>
      </c>
      <c r="Q236" t="s">
        <v>60</v>
      </c>
      <c r="R236" t="s">
        <v>624</v>
      </c>
      <c r="S236" s="1">
        <v>44424</v>
      </c>
      <c r="T236" s="1">
        <v>44430</v>
      </c>
      <c r="U236">
        <v>37501</v>
      </c>
      <c r="V236" t="s">
        <v>61</v>
      </c>
      <c r="W236" t="s">
        <v>625</v>
      </c>
      <c r="X236" s="1">
        <v>44438</v>
      </c>
      <c r="Y236" t="s">
        <v>100</v>
      </c>
      <c r="Z236">
        <v>125</v>
      </c>
      <c r="AA236">
        <v>16</v>
      </c>
      <c r="AB236">
        <v>20</v>
      </c>
      <c r="AC236">
        <v>23.7</v>
      </c>
      <c r="AD236">
        <v>168.7</v>
      </c>
      <c r="AE236">
        <v>5462.37</v>
      </c>
      <c r="AF236">
        <v>7091</v>
      </c>
      <c r="AG236" t="s">
        <v>611</v>
      </c>
      <c r="AH236" t="s">
        <v>65</v>
      </c>
      <c r="AI236" t="s">
        <v>65</v>
      </c>
      <c r="AJ236" t="s">
        <v>66</v>
      </c>
      <c r="AK236" t="s">
        <v>66</v>
      </c>
      <c r="AL236" t="s">
        <v>66</v>
      </c>
      <c r="AM236" s="2" t="str">
        <f>HYPERLINK("https://transparencia.cidesi.mx/comprobantes/2021/CQ2100702 /C3MSG_004661913_BI_24792.pdf")</f>
        <v>https://transparencia.cidesi.mx/comprobantes/2021/CQ2100702 /C3MSG_004661913_BI_24792.pdf</v>
      </c>
      <c r="AN236" t="str">
        <f>HYPERLINK("https://transparencia.cidesi.mx/comprobantes/2021/CQ2100702 /C3MSG_004661913_BI_24792.pdf")</f>
        <v>https://transparencia.cidesi.mx/comprobantes/2021/CQ2100702 /C3MSG_004661913_BI_24792.pdf</v>
      </c>
      <c r="AO236" t="str">
        <f>HYPERLINK("https://transparencia.cidesi.mx/comprobantes/2021/CQ2100702 /C3MSG_004661913_BI_24792.xml")</f>
        <v>https://transparencia.cidesi.mx/comprobantes/2021/CQ2100702 /C3MSG_004661913_BI_24792.xml</v>
      </c>
      <c r="AP236" t="s">
        <v>626</v>
      </c>
      <c r="AQ236" t="s">
        <v>627</v>
      </c>
      <c r="AR236" t="s">
        <v>628</v>
      </c>
      <c r="AS236" t="s">
        <v>615</v>
      </c>
      <c r="AT236" s="1">
        <v>44438</v>
      </c>
      <c r="AU236" t="s">
        <v>73</v>
      </c>
    </row>
    <row r="237" spans="1:47" x14ac:dyDescent="0.3">
      <c r="A237" t="s">
        <v>246</v>
      </c>
      <c r="B237" t="s">
        <v>182</v>
      </c>
      <c r="C237" t="s">
        <v>183</v>
      </c>
      <c r="D237">
        <v>498</v>
      </c>
      <c r="E237" t="s">
        <v>596</v>
      </c>
      <c r="F237" t="s">
        <v>597</v>
      </c>
      <c r="G237" t="s">
        <v>598</v>
      </c>
      <c r="H237" t="s">
        <v>623</v>
      </c>
      <c r="I237" t="s">
        <v>54</v>
      </c>
      <c r="J237" t="s">
        <v>624</v>
      </c>
      <c r="K237" t="s">
        <v>56</v>
      </c>
      <c r="L237">
        <v>0</v>
      </c>
      <c r="M237" t="s">
        <v>73</v>
      </c>
      <c r="N237">
        <v>0</v>
      </c>
      <c r="O237" t="s">
        <v>58</v>
      </c>
      <c r="P237" t="s">
        <v>59</v>
      </c>
      <c r="Q237" t="s">
        <v>60</v>
      </c>
      <c r="R237" t="s">
        <v>624</v>
      </c>
      <c r="S237" s="1">
        <v>44424</v>
      </c>
      <c r="T237" s="1">
        <v>44430</v>
      </c>
      <c r="U237">
        <v>37501</v>
      </c>
      <c r="V237" t="s">
        <v>61</v>
      </c>
      <c r="W237" t="s">
        <v>625</v>
      </c>
      <c r="X237" s="1">
        <v>44438</v>
      </c>
      <c r="Y237" t="s">
        <v>100</v>
      </c>
      <c r="Z237">
        <v>197.42</v>
      </c>
      <c r="AA237">
        <v>16</v>
      </c>
      <c r="AB237">
        <v>31.58</v>
      </c>
      <c r="AC237">
        <v>23</v>
      </c>
      <c r="AD237">
        <v>252</v>
      </c>
      <c r="AE237">
        <v>5462.37</v>
      </c>
      <c r="AF237">
        <v>7091</v>
      </c>
      <c r="AG237" t="s">
        <v>611</v>
      </c>
      <c r="AH237" t="s">
        <v>65</v>
      </c>
      <c r="AI237" t="s">
        <v>65</v>
      </c>
      <c r="AJ237" t="s">
        <v>66</v>
      </c>
      <c r="AK237" t="s">
        <v>66</v>
      </c>
      <c r="AL237" t="s">
        <v>66</v>
      </c>
      <c r="AM237" s="2" t="str">
        <f>HYPERLINK("https://transparencia.cidesi.mx/comprobantes/2021/CQ2100702 /C4D__AutoFactura_10139_Comprobantes_fc71.pdf")</f>
        <v>https://transparencia.cidesi.mx/comprobantes/2021/CQ2100702 /C4D__AutoFactura_10139_Comprobantes_fc71.pdf</v>
      </c>
      <c r="AN237" t="str">
        <f>HYPERLINK("https://transparencia.cidesi.mx/comprobantes/2021/CQ2100702 /C4D__AutoFactura_10139_Comprobantes_fc71.pdf")</f>
        <v>https://transparencia.cidesi.mx/comprobantes/2021/CQ2100702 /C4D__AutoFactura_10139_Comprobantes_fc71.pdf</v>
      </c>
      <c r="AO237" t="str">
        <f>HYPERLINK("https://transparencia.cidesi.mx/comprobantes/2021/CQ2100702 /C4D__AutoFactura_10139_Comprobantes_71_xml.xml")</f>
        <v>https://transparencia.cidesi.mx/comprobantes/2021/CQ2100702 /C4D__AutoFactura_10139_Comprobantes_71_xml.xml</v>
      </c>
      <c r="AP237" t="s">
        <v>626</v>
      </c>
      <c r="AQ237" t="s">
        <v>627</v>
      </c>
      <c r="AR237" t="s">
        <v>628</v>
      </c>
      <c r="AS237" t="s">
        <v>615</v>
      </c>
      <c r="AT237" s="1">
        <v>44438</v>
      </c>
      <c r="AU237" t="s">
        <v>73</v>
      </c>
    </row>
    <row r="238" spans="1:47" x14ac:dyDescent="0.3">
      <c r="A238" t="s">
        <v>246</v>
      </c>
      <c r="B238" t="s">
        <v>182</v>
      </c>
      <c r="C238" t="s">
        <v>183</v>
      </c>
      <c r="D238">
        <v>498</v>
      </c>
      <c r="E238" t="s">
        <v>596</v>
      </c>
      <c r="F238" t="s">
        <v>597</v>
      </c>
      <c r="G238" t="s">
        <v>598</v>
      </c>
      <c r="H238" t="s">
        <v>623</v>
      </c>
      <c r="I238" t="s">
        <v>54</v>
      </c>
      <c r="J238" t="s">
        <v>624</v>
      </c>
      <c r="K238" t="s">
        <v>56</v>
      </c>
      <c r="L238">
        <v>0</v>
      </c>
      <c r="M238" t="s">
        <v>73</v>
      </c>
      <c r="N238">
        <v>0</v>
      </c>
      <c r="O238" t="s">
        <v>58</v>
      </c>
      <c r="P238" t="s">
        <v>59</v>
      </c>
      <c r="Q238" t="s">
        <v>60</v>
      </c>
      <c r="R238" t="s">
        <v>624</v>
      </c>
      <c r="S238" s="1">
        <v>44424</v>
      </c>
      <c r="T238" s="1">
        <v>44430</v>
      </c>
      <c r="U238">
        <v>37501</v>
      </c>
      <c r="V238" t="s">
        <v>61</v>
      </c>
      <c r="W238" t="s">
        <v>625</v>
      </c>
      <c r="X238" s="1">
        <v>44438</v>
      </c>
      <c r="Y238" t="s">
        <v>100</v>
      </c>
      <c r="Z238">
        <v>104.31</v>
      </c>
      <c r="AA238">
        <v>16</v>
      </c>
      <c r="AB238">
        <v>16.690000000000001</v>
      </c>
      <c r="AC238">
        <v>12</v>
      </c>
      <c r="AD238">
        <v>133</v>
      </c>
      <c r="AE238">
        <v>5462.37</v>
      </c>
      <c r="AF238">
        <v>7091</v>
      </c>
      <c r="AG238" t="s">
        <v>611</v>
      </c>
      <c r="AH238" t="s">
        <v>65</v>
      </c>
      <c r="AI238" t="s">
        <v>65</v>
      </c>
      <c r="AJ238" t="s">
        <v>66</v>
      </c>
      <c r="AK238" t="s">
        <v>66</v>
      </c>
      <c r="AL238" t="s">
        <v>66</v>
      </c>
      <c r="AM238" s="2" t="str">
        <f>HYPERLINK("https://transparencia.cidesi.mx/comprobantes/2021/CQ2100702 /C5GRL160519AE9_CYC_8569.pdf")</f>
        <v>https://transparencia.cidesi.mx/comprobantes/2021/CQ2100702 /C5GRL160519AE9_CYC_8569.pdf</v>
      </c>
      <c r="AN238" t="str">
        <f>HYPERLINK("https://transparencia.cidesi.mx/comprobantes/2021/CQ2100702 /C5GRL160519AE9_CYC_8569.pdf")</f>
        <v>https://transparencia.cidesi.mx/comprobantes/2021/CQ2100702 /C5GRL160519AE9_CYC_8569.pdf</v>
      </c>
      <c r="AO238" t="str">
        <f>HYPERLINK("https://transparencia.cidesi.mx/comprobantes/2021/CQ2100702 /C5GRL160519AE9_CYC_8569.xml")</f>
        <v>https://transparencia.cidesi.mx/comprobantes/2021/CQ2100702 /C5GRL160519AE9_CYC_8569.xml</v>
      </c>
      <c r="AP238" t="s">
        <v>626</v>
      </c>
      <c r="AQ238" t="s">
        <v>627</v>
      </c>
      <c r="AR238" t="s">
        <v>628</v>
      </c>
      <c r="AS238" t="s">
        <v>615</v>
      </c>
      <c r="AT238" s="1">
        <v>44438</v>
      </c>
      <c r="AU238" t="s">
        <v>73</v>
      </c>
    </row>
    <row r="239" spans="1:47" x14ac:dyDescent="0.3">
      <c r="A239" t="s">
        <v>246</v>
      </c>
      <c r="B239" t="s">
        <v>182</v>
      </c>
      <c r="C239" t="s">
        <v>183</v>
      </c>
      <c r="D239">
        <v>498</v>
      </c>
      <c r="E239" t="s">
        <v>596</v>
      </c>
      <c r="F239" t="s">
        <v>597</v>
      </c>
      <c r="G239" t="s">
        <v>598</v>
      </c>
      <c r="H239" t="s">
        <v>623</v>
      </c>
      <c r="I239" t="s">
        <v>54</v>
      </c>
      <c r="J239" t="s">
        <v>624</v>
      </c>
      <c r="K239" t="s">
        <v>56</v>
      </c>
      <c r="L239">
        <v>0</v>
      </c>
      <c r="M239" t="s">
        <v>73</v>
      </c>
      <c r="N239">
        <v>0</v>
      </c>
      <c r="O239" t="s">
        <v>58</v>
      </c>
      <c r="P239" t="s">
        <v>59</v>
      </c>
      <c r="Q239" t="s">
        <v>60</v>
      </c>
      <c r="R239" t="s">
        <v>624</v>
      </c>
      <c r="S239" s="1">
        <v>44424</v>
      </c>
      <c r="T239" s="1">
        <v>44430</v>
      </c>
      <c r="U239">
        <v>37501</v>
      </c>
      <c r="V239" t="s">
        <v>61</v>
      </c>
      <c r="W239" t="s">
        <v>625</v>
      </c>
      <c r="X239" s="1">
        <v>44438</v>
      </c>
      <c r="Y239" t="s">
        <v>100</v>
      </c>
      <c r="Z239">
        <v>100.86</v>
      </c>
      <c r="AA239">
        <v>16</v>
      </c>
      <c r="AB239">
        <v>16.14</v>
      </c>
      <c r="AC239">
        <v>11</v>
      </c>
      <c r="AD239">
        <v>128</v>
      </c>
      <c r="AE239">
        <v>5462.37</v>
      </c>
      <c r="AF239">
        <v>7091</v>
      </c>
      <c r="AG239" t="s">
        <v>611</v>
      </c>
      <c r="AH239" t="s">
        <v>65</v>
      </c>
      <c r="AI239" t="s">
        <v>65</v>
      </c>
      <c r="AJ239" t="s">
        <v>66</v>
      </c>
      <c r="AK239" t="s">
        <v>66</v>
      </c>
      <c r="AL239" t="s">
        <v>66</v>
      </c>
      <c r="AM239" s="2" t="str">
        <f>HYPERLINK("https://transparencia.cidesi.mx/comprobantes/2021/CQ2100702 /C6GRL160519AE9_CYC_8570.pdf")</f>
        <v>https://transparencia.cidesi.mx/comprobantes/2021/CQ2100702 /C6GRL160519AE9_CYC_8570.pdf</v>
      </c>
      <c r="AN239" t="str">
        <f>HYPERLINK("https://transparencia.cidesi.mx/comprobantes/2021/CQ2100702 /C6GRL160519AE9_CYC_8570.pdf")</f>
        <v>https://transparencia.cidesi.mx/comprobantes/2021/CQ2100702 /C6GRL160519AE9_CYC_8570.pdf</v>
      </c>
      <c r="AO239" t="str">
        <f>HYPERLINK("https://transparencia.cidesi.mx/comprobantes/2021/CQ2100702 /C6GRL160519AE9_CYC_8570.xml")</f>
        <v>https://transparencia.cidesi.mx/comprobantes/2021/CQ2100702 /C6GRL160519AE9_CYC_8570.xml</v>
      </c>
      <c r="AP239" t="s">
        <v>626</v>
      </c>
      <c r="AQ239" t="s">
        <v>627</v>
      </c>
      <c r="AR239" t="s">
        <v>628</v>
      </c>
      <c r="AS239" t="s">
        <v>615</v>
      </c>
      <c r="AT239" s="1">
        <v>44438</v>
      </c>
      <c r="AU239" t="s">
        <v>73</v>
      </c>
    </row>
    <row r="240" spans="1:47" x14ac:dyDescent="0.3">
      <c r="A240" t="s">
        <v>246</v>
      </c>
      <c r="B240" t="s">
        <v>182</v>
      </c>
      <c r="C240" t="s">
        <v>183</v>
      </c>
      <c r="D240">
        <v>498</v>
      </c>
      <c r="E240" t="s">
        <v>596</v>
      </c>
      <c r="F240" t="s">
        <v>597</v>
      </c>
      <c r="G240" t="s">
        <v>598</v>
      </c>
      <c r="H240" t="s">
        <v>623</v>
      </c>
      <c r="I240" t="s">
        <v>54</v>
      </c>
      <c r="J240" t="s">
        <v>624</v>
      </c>
      <c r="K240" t="s">
        <v>56</v>
      </c>
      <c r="L240">
        <v>0</v>
      </c>
      <c r="M240" t="s">
        <v>73</v>
      </c>
      <c r="N240">
        <v>0</v>
      </c>
      <c r="O240" t="s">
        <v>58</v>
      </c>
      <c r="P240" t="s">
        <v>59</v>
      </c>
      <c r="Q240" t="s">
        <v>60</v>
      </c>
      <c r="R240" t="s">
        <v>624</v>
      </c>
      <c r="S240" s="1">
        <v>44424</v>
      </c>
      <c r="T240" s="1">
        <v>44430</v>
      </c>
      <c r="U240">
        <v>37501</v>
      </c>
      <c r="V240" t="s">
        <v>61</v>
      </c>
      <c r="W240" t="s">
        <v>625</v>
      </c>
      <c r="X240" s="1">
        <v>44438</v>
      </c>
      <c r="Y240" t="s">
        <v>100</v>
      </c>
      <c r="Z240">
        <v>156.9</v>
      </c>
      <c r="AA240">
        <v>16</v>
      </c>
      <c r="AB240">
        <v>25.1</v>
      </c>
      <c r="AC240">
        <v>18</v>
      </c>
      <c r="AD240">
        <v>200</v>
      </c>
      <c r="AE240">
        <v>5462.37</v>
      </c>
      <c r="AF240">
        <v>7091</v>
      </c>
      <c r="AG240" t="s">
        <v>611</v>
      </c>
      <c r="AH240" t="s">
        <v>65</v>
      </c>
      <c r="AI240" t="s">
        <v>65</v>
      </c>
      <c r="AJ240" t="s">
        <v>66</v>
      </c>
      <c r="AK240" t="s">
        <v>66</v>
      </c>
      <c r="AL240" t="s">
        <v>66</v>
      </c>
      <c r="AM240" s="2" t="str">
        <f>HYPERLINK("https://transparencia.cidesi.mx/comprobantes/2021/CQ2100702 /C7GRL160519AE9_CYC_8571.pdf")</f>
        <v>https://transparencia.cidesi.mx/comprobantes/2021/CQ2100702 /C7GRL160519AE9_CYC_8571.pdf</v>
      </c>
      <c r="AN240" t="str">
        <f>HYPERLINK("https://transparencia.cidesi.mx/comprobantes/2021/CQ2100702 /C7GRL160519AE9_CYC_8571.pdf")</f>
        <v>https://transparencia.cidesi.mx/comprobantes/2021/CQ2100702 /C7GRL160519AE9_CYC_8571.pdf</v>
      </c>
      <c r="AO240" t="str">
        <f>HYPERLINK("https://transparencia.cidesi.mx/comprobantes/2021/CQ2100702 /C7GRL160519AE9_CYC_8571.xml")</f>
        <v>https://transparencia.cidesi.mx/comprobantes/2021/CQ2100702 /C7GRL160519AE9_CYC_8571.xml</v>
      </c>
      <c r="AP240" t="s">
        <v>626</v>
      </c>
      <c r="AQ240" t="s">
        <v>627</v>
      </c>
      <c r="AR240" t="s">
        <v>628</v>
      </c>
      <c r="AS240" t="s">
        <v>615</v>
      </c>
      <c r="AT240" s="1">
        <v>44438</v>
      </c>
      <c r="AU240" t="s">
        <v>73</v>
      </c>
    </row>
    <row r="241" spans="1:47" x14ac:dyDescent="0.3">
      <c r="A241" t="s">
        <v>246</v>
      </c>
      <c r="B241" t="s">
        <v>182</v>
      </c>
      <c r="C241" t="s">
        <v>183</v>
      </c>
      <c r="D241">
        <v>498</v>
      </c>
      <c r="E241" t="s">
        <v>596</v>
      </c>
      <c r="F241" t="s">
        <v>597</v>
      </c>
      <c r="G241" t="s">
        <v>598</v>
      </c>
      <c r="H241" t="s">
        <v>623</v>
      </c>
      <c r="I241" t="s">
        <v>54</v>
      </c>
      <c r="J241" t="s">
        <v>624</v>
      </c>
      <c r="K241" t="s">
        <v>56</v>
      </c>
      <c r="L241">
        <v>0</v>
      </c>
      <c r="M241" t="s">
        <v>73</v>
      </c>
      <c r="N241">
        <v>0</v>
      </c>
      <c r="O241" t="s">
        <v>58</v>
      </c>
      <c r="P241" t="s">
        <v>59</v>
      </c>
      <c r="Q241" t="s">
        <v>60</v>
      </c>
      <c r="R241" t="s">
        <v>624</v>
      </c>
      <c r="S241" s="1">
        <v>44424</v>
      </c>
      <c r="T241" s="1">
        <v>44430</v>
      </c>
      <c r="U241">
        <v>37501</v>
      </c>
      <c r="V241" t="s">
        <v>61</v>
      </c>
      <c r="W241" t="s">
        <v>625</v>
      </c>
      <c r="X241" s="1">
        <v>44438</v>
      </c>
      <c r="Y241" t="s">
        <v>100</v>
      </c>
      <c r="Z241">
        <v>180.17</v>
      </c>
      <c r="AA241">
        <v>16</v>
      </c>
      <c r="AB241">
        <v>28.83</v>
      </c>
      <c r="AC241">
        <v>20</v>
      </c>
      <c r="AD241">
        <v>229</v>
      </c>
      <c r="AE241">
        <v>5462.37</v>
      </c>
      <c r="AF241">
        <v>7091</v>
      </c>
      <c r="AG241" t="s">
        <v>611</v>
      </c>
      <c r="AH241" t="s">
        <v>65</v>
      </c>
      <c r="AI241" t="s">
        <v>65</v>
      </c>
      <c r="AJ241" t="s">
        <v>66</v>
      </c>
      <c r="AK241" t="s">
        <v>66</v>
      </c>
      <c r="AL241" t="s">
        <v>66</v>
      </c>
      <c r="AM241" s="2" t="str">
        <f>HYPERLINK("https://transparencia.cidesi.mx/comprobantes/2021/CQ2100702 /C8GRL160519AE9_CYC_8792.pdf")</f>
        <v>https://transparencia.cidesi.mx/comprobantes/2021/CQ2100702 /C8GRL160519AE9_CYC_8792.pdf</v>
      </c>
      <c r="AN241" t="str">
        <f>HYPERLINK("https://transparencia.cidesi.mx/comprobantes/2021/CQ2100702 /C8GRL160519AE9_CYC_8792.pdf")</f>
        <v>https://transparencia.cidesi.mx/comprobantes/2021/CQ2100702 /C8GRL160519AE9_CYC_8792.pdf</v>
      </c>
      <c r="AO241" t="str">
        <f>HYPERLINK("https://transparencia.cidesi.mx/comprobantes/2021/CQ2100702 /C8GRL160519AE9_CYC_8792.xml")</f>
        <v>https://transparencia.cidesi.mx/comprobantes/2021/CQ2100702 /C8GRL160519AE9_CYC_8792.xml</v>
      </c>
      <c r="AP241" t="s">
        <v>626</v>
      </c>
      <c r="AQ241" t="s">
        <v>627</v>
      </c>
      <c r="AR241" t="s">
        <v>628</v>
      </c>
      <c r="AS241" t="s">
        <v>615</v>
      </c>
      <c r="AT241" s="1">
        <v>44438</v>
      </c>
      <c r="AU241" t="s">
        <v>73</v>
      </c>
    </row>
    <row r="242" spans="1:47" x14ac:dyDescent="0.3">
      <c r="A242" t="s">
        <v>246</v>
      </c>
      <c r="B242" t="s">
        <v>182</v>
      </c>
      <c r="C242" t="s">
        <v>183</v>
      </c>
      <c r="D242">
        <v>498</v>
      </c>
      <c r="E242" t="s">
        <v>596</v>
      </c>
      <c r="F242" t="s">
        <v>597</v>
      </c>
      <c r="G242" t="s">
        <v>598</v>
      </c>
      <c r="H242" t="s">
        <v>623</v>
      </c>
      <c r="I242" t="s">
        <v>54</v>
      </c>
      <c r="J242" t="s">
        <v>624</v>
      </c>
      <c r="K242" t="s">
        <v>56</v>
      </c>
      <c r="L242">
        <v>0</v>
      </c>
      <c r="M242" t="s">
        <v>73</v>
      </c>
      <c r="N242">
        <v>0</v>
      </c>
      <c r="O242" t="s">
        <v>58</v>
      </c>
      <c r="P242" t="s">
        <v>59</v>
      </c>
      <c r="Q242" t="s">
        <v>60</v>
      </c>
      <c r="R242" t="s">
        <v>624</v>
      </c>
      <c r="S242" s="1">
        <v>44424</v>
      </c>
      <c r="T242" s="1">
        <v>44430</v>
      </c>
      <c r="U242">
        <v>37501</v>
      </c>
      <c r="V242" t="s">
        <v>61</v>
      </c>
      <c r="W242" t="s">
        <v>625</v>
      </c>
      <c r="X242" s="1">
        <v>44438</v>
      </c>
      <c r="Y242" t="s">
        <v>100</v>
      </c>
      <c r="Z242">
        <v>137.93</v>
      </c>
      <c r="AA242">
        <v>16</v>
      </c>
      <c r="AB242">
        <v>22.07</v>
      </c>
      <c r="AC242">
        <v>16</v>
      </c>
      <c r="AD242">
        <v>176</v>
      </c>
      <c r="AE242">
        <v>5462.37</v>
      </c>
      <c r="AF242">
        <v>7091</v>
      </c>
      <c r="AG242" t="s">
        <v>611</v>
      </c>
      <c r="AH242" t="s">
        <v>65</v>
      </c>
      <c r="AI242" t="s">
        <v>65</v>
      </c>
      <c r="AJ242" t="s">
        <v>66</v>
      </c>
      <c r="AK242" t="s">
        <v>66</v>
      </c>
      <c r="AL242" t="s">
        <v>66</v>
      </c>
      <c r="AM242" s="2" t="str">
        <f>HYPERLINK("https://transparencia.cidesi.mx/comprobantes/2021/CQ2100702 /C9FTDA-4450939.pdf")</f>
        <v>https://transparencia.cidesi.mx/comprobantes/2021/CQ2100702 /C9FTDA-4450939.pdf</v>
      </c>
      <c r="AN242" t="str">
        <f>HYPERLINK("https://transparencia.cidesi.mx/comprobantes/2021/CQ2100702 /C9FTDA-4450939.pdf")</f>
        <v>https://transparencia.cidesi.mx/comprobantes/2021/CQ2100702 /C9FTDA-4450939.pdf</v>
      </c>
      <c r="AO242" t="str">
        <f>HYPERLINK("https://transparencia.cidesi.mx/comprobantes/2021/CQ2100702 /C9FTDA-4450939.xml")</f>
        <v>https://transparencia.cidesi.mx/comprobantes/2021/CQ2100702 /C9FTDA-4450939.xml</v>
      </c>
      <c r="AP242" t="s">
        <v>626</v>
      </c>
      <c r="AQ242" t="s">
        <v>627</v>
      </c>
      <c r="AR242" t="s">
        <v>628</v>
      </c>
      <c r="AS242" t="s">
        <v>615</v>
      </c>
      <c r="AT242" s="1">
        <v>44438</v>
      </c>
      <c r="AU242" t="s">
        <v>73</v>
      </c>
    </row>
    <row r="243" spans="1:47" x14ac:dyDescent="0.3">
      <c r="A243" t="s">
        <v>246</v>
      </c>
      <c r="B243" t="s">
        <v>182</v>
      </c>
      <c r="C243" t="s">
        <v>183</v>
      </c>
      <c r="D243">
        <v>498</v>
      </c>
      <c r="E243" t="s">
        <v>596</v>
      </c>
      <c r="F243" t="s">
        <v>597</v>
      </c>
      <c r="G243" t="s">
        <v>598</v>
      </c>
      <c r="H243" t="s">
        <v>623</v>
      </c>
      <c r="I243" t="s">
        <v>54</v>
      </c>
      <c r="J243" t="s">
        <v>624</v>
      </c>
      <c r="K243" t="s">
        <v>56</v>
      </c>
      <c r="L243">
        <v>0</v>
      </c>
      <c r="M243" t="s">
        <v>73</v>
      </c>
      <c r="N243">
        <v>0</v>
      </c>
      <c r="O243" t="s">
        <v>58</v>
      </c>
      <c r="P243" t="s">
        <v>59</v>
      </c>
      <c r="Q243" t="s">
        <v>60</v>
      </c>
      <c r="R243" t="s">
        <v>624</v>
      </c>
      <c r="S243" s="1">
        <v>44424</v>
      </c>
      <c r="T243" s="1">
        <v>44430</v>
      </c>
      <c r="U243">
        <v>37501</v>
      </c>
      <c r="V243" t="s">
        <v>61</v>
      </c>
      <c r="W243" t="s">
        <v>625</v>
      </c>
      <c r="X243" s="1">
        <v>44438</v>
      </c>
      <c r="Y243" t="s">
        <v>100</v>
      </c>
      <c r="Z243">
        <v>184.48</v>
      </c>
      <c r="AA243">
        <v>16</v>
      </c>
      <c r="AB243">
        <v>29.52</v>
      </c>
      <c r="AC243">
        <v>21</v>
      </c>
      <c r="AD243">
        <v>235</v>
      </c>
      <c r="AE243">
        <v>5462.37</v>
      </c>
      <c r="AF243">
        <v>7091</v>
      </c>
      <c r="AG243" t="s">
        <v>611</v>
      </c>
      <c r="AH243" t="s">
        <v>65</v>
      </c>
      <c r="AI243" t="s">
        <v>65</v>
      </c>
      <c r="AJ243" t="s">
        <v>66</v>
      </c>
      <c r="AK243" t="s">
        <v>66</v>
      </c>
      <c r="AL243" t="s">
        <v>66</v>
      </c>
      <c r="AM243" s="2" t="str">
        <f>HYPERLINK("https://transparencia.cidesi.mx/comprobantes/2021/CQ2100702 /C10FTDA-4450951.pdf")</f>
        <v>https://transparencia.cidesi.mx/comprobantes/2021/CQ2100702 /C10FTDA-4450951.pdf</v>
      </c>
      <c r="AN243" t="str">
        <f>HYPERLINK("https://transparencia.cidesi.mx/comprobantes/2021/CQ2100702 /C10FTDA-4450951.pdf")</f>
        <v>https://transparencia.cidesi.mx/comprobantes/2021/CQ2100702 /C10FTDA-4450951.pdf</v>
      </c>
      <c r="AO243" t="str">
        <f>HYPERLINK("https://transparencia.cidesi.mx/comprobantes/2021/CQ2100702 /C10FTDA-4450951.xml")</f>
        <v>https://transparencia.cidesi.mx/comprobantes/2021/CQ2100702 /C10FTDA-4450951.xml</v>
      </c>
      <c r="AP243" t="s">
        <v>626</v>
      </c>
      <c r="AQ243" t="s">
        <v>627</v>
      </c>
      <c r="AR243" t="s">
        <v>628</v>
      </c>
      <c r="AS243" t="s">
        <v>615</v>
      </c>
      <c r="AT243" s="1">
        <v>44438</v>
      </c>
      <c r="AU243" t="s">
        <v>73</v>
      </c>
    </row>
    <row r="244" spans="1:47" x14ac:dyDescent="0.3">
      <c r="A244" t="s">
        <v>246</v>
      </c>
      <c r="B244" t="s">
        <v>182</v>
      </c>
      <c r="C244" t="s">
        <v>183</v>
      </c>
      <c r="D244">
        <v>498</v>
      </c>
      <c r="E244" t="s">
        <v>596</v>
      </c>
      <c r="F244" t="s">
        <v>597</v>
      </c>
      <c r="G244" t="s">
        <v>598</v>
      </c>
      <c r="H244" t="s">
        <v>623</v>
      </c>
      <c r="I244" t="s">
        <v>54</v>
      </c>
      <c r="J244" t="s">
        <v>624</v>
      </c>
      <c r="K244" t="s">
        <v>56</v>
      </c>
      <c r="L244">
        <v>0</v>
      </c>
      <c r="M244" t="s">
        <v>73</v>
      </c>
      <c r="N244">
        <v>0</v>
      </c>
      <c r="O244" t="s">
        <v>58</v>
      </c>
      <c r="P244" t="s">
        <v>59</v>
      </c>
      <c r="Q244" t="s">
        <v>60</v>
      </c>
      <c r="R244" t="s">
        <v>624</v>
      </c>
      <c r="S244" s="1">
        <v>44424</v>
      </c>
      <c r="T244" s="1">
        <v>44430</v>
      </c>
      <c r="U244">
        <v>37501</v>
      </c>
      <c r="V244" t="s">
        <v>61</v>
      </c>
      <c r="W244" t="s">
        <v>625</v>
      </c>
      <c r="X244" s="1">
        <v>44438</v>
      </c>
      <c r="Y244" t="s">
        <v>100</v>
      </c>
      <c r="Z244">
        <v>313.79000000000002</v>
      </c>
      <c r="AA244">
        <v>16</v>
      </c>
      <c r="AB244">
        <v>50.21</v>
      </c>
      <c r="AC244">
        <v>37</v>
      </c>
      <c r="AD244">
        <v>401</v>
      </c>
      <c r="AE244">
        <v>5462.37</v>
      </c>
      <c r="AF244">
        <v>7091</v>
      </c>
      <c r="AG244" t="s">
        <v>611</v>
      </c>
      <c r="AH244" t="s">
        <v>65</v>
      </c>
      <c r="AI244" t="s">
        <v>65</v>
      </c>
      <c r="AJ244" t="s">
        <v>66</v>
      </c>
      <c r="AK244" t="s">
        <v>66</v>
      </c>
      <c r="AL244" t="s">
        <v>66</v>
      </c>
      <c r="AM244" s="2" t="str">
        <f>HYPERLINK("https://transparencia.cidesi.mx/comprobantes/2021/CQ2100702 /C1169919999.pdf")</f>
        <v>https://transparencia.cidesi.mx/comprobantes/2021/CQ2100702 /C1169919999.pdf</v>
      </c>
      <c r="AN244" t="str">
        <f>HYPERLINK("https://transparencia.cidesi.mx/comprobantes/2021/CQ2100702 /C1169919999.pdf")</f>
        <v>https://transparencia.cidesi.mx/comprobantes/2021/CQ2100702 /C1169919999.pdf</v>
      </c>
      <c r="AO244" t="str">
        <f>HYPERLINK("https://transparencia.cidesi.mx/comprobantes/2021/CQ2100702 /C1169919999.xml")</f>
        <v>https://transparencia.cidesi.mx/comprobantes/2021/CQ2100702 /C1169919999.xml</v>
      </c>
      <c r="AP244" t="s">
        <v>626</v>
      </c>
      <c r="AQ244" t="s">
        <v>627</v>
      </c>
      <c r="AR244" t="s">
        <v>628</v>
      </c>
      <c r="AS244" t="s">
        <v>615</v>
      </c>
      <c r="AT244" s="1">
        <v>44438</v>
      </c>
      <c r="AU244" t="s">
        <v>73</v>
      </c>
    </row>
    <row r="245" spans="1:47" x14ac:dyDescent="0.3">
      <c r="A245" t="s">
        <v>246</v>
      </c>
      <c r="B245" t="s">
        <v>182</v>
      </c>
      <c r="C245" t="s">
        <v>183</v>
      </c>
      <c r="D245">
        <v>498</v>
      </c>
      <c r="E245" t="s">
        <v>596</v>
      </c>
      <c r="F245" t="s">
        <v>597</v>
      </c>
      <c r="G245" t="s">
        <v>598</v>
      </c>
      <c r="H245" t="s">
        <v>629</v>
      </c>
      <c r="I245" t="s">
        <v>54</v>
      </c>
      <c r="J245" t="s">
        <v>630</v>
      </c>
      <c r="K245" t="s">
        <v>56</v>
      </c>
      <c r="L245">
        <v>0</v>
      </c>
      <c r="M245" t="s">
        <v>73</v>
      </c>
      <c r="N245">
        <v>0</v>
      </c>
      <c r="O245" t="s">
        <v>58</v>
      </c>
      <c r="P245" t="s">
        <v>59</v>
      </c>
      <c r="Q245" t="s">
        <v>60</v>
      </c>
      <c r="R245" t="s">
        <v>630</v>
      </c>
      <c r="S245" s="1">
        <v>44445</v>
      </c>
      <c r="T245" s="1">
        <v>44445</v>
      </c>
      <c r="U245">
        <v>37501</v>
      </c>
      <c r="V245" t="s">
        <v>61</v>
      </c>
      <c r="W245" t="s">
        <v>631</v>
      </c>
      <c r="X245" s="1">
        <v>44453</v>
      </c>
      <c r="Y245" t="s">
        <v>63</v>
      </c>
      <c r="Z245">
        <v>393.1</v>
      </c>
      <c r="AA245">
        <v>16</v>
      </c>
      <c r="AB245">
        <v>62.9</v>
      </c>
      <c r="AC245">
        <v>45.6</v>
      </c>
      <c r="AD245">
        <v>501.6</v>
      </c>
      <c r="AE245">
        <v>501.6</v>
      </c>
      <c r="AF245">
        <v>545</v>
      </c>
      <c r="AG245" t="s">
        <v>611</v>
      </c>
      <c r="AH245" t="s">
        <v>65</v>
      </c>
      <c r="AI245" t="s">
        <v>65</v>
      </c>
      <c r="AJ245" t="s">
        <v>66</v>
      </c>
      <c r="AK245" t="s">
        <v>66</v>
      </c>
      <c r="AL245" t="s">
        <v>66</v>
      </c>
      <c r="AM245" s="2" t="str">
        <f>HYPERLINK("https://transparencia.cidesi.mx/comprobantes/2021/CQ2100804 /C11TIWEBDF000006567436.pdf")</f>
        <v>https://transparencia.cidesi.mx/comprobantes/2021/CQ2100804 /C11TIWEBDF000006567436.pdf</v>
      </c>
      <c r="AN245" t="str">
        <f>HYPERLINK("https://transparencia.cidesi.mx/comprobantes/2021/CQ2100804 /C11TIWEBDF000006567436.pdf")</f>
        <v>https://transparencia.cidesi.mx/comprobantes/2021/CQ2100804 /C11TIWEBDF000006567436.pdf</v>
      </c>
      <c r="AO245" t="str">
        <f>HYPERLINK("https://transparencia.cidesi.mx/comprobantes/2021/CQ2100804 /C11TIWEBDF000006567436.xml")</f>
        <v>https://transparencia.cidesi.mx/comprobantes/2021/CQ2100804 /C11TIWEBDF000006567436.xml</v>
      </c>
      <c r="AP245" t="s">
        <v>632</v>
      </c>
      <c r="AQ245" t="s">
        <v>633</v>
      </c>
      <c r="AR245" t="s">
        <v>634</v>
      </c>
      <c r="AS245" t="s">
        <v>635</v>
      </c>
      <c r="AT245" s="1">
        <v>44453</v>
      </c>
      <c r="AU245" s="1">
        <v>44467</v>
      </c>
    </row>
    <row r="246" spans="1:47" x14ac:dyDescent="0.3">
      <c r="A246" t="s">
        <v>246</v>
      </c>
      <c r="B246" t="s">
        <v>182</v>
      </c>
      <c r="C246" t="s">
        <v>183</v>
      </c>
      <c r="D246">
        <v>498</v>
      </c>
      <c r="E246" t="s">
        <v>596</v>
      </c>
      <c r="F246" t="s">
        <v>597</v>
      </c>
      <c r="G246" t="s">
        <v>598</v>
      </c>
      <c r="H246" t="s">
        <v>636</v>
      </c>
      <c r="I246" t="s">
        <v>54</v>
      </c>
      <c r="J246" t="s">
        <v>637</v>
      </c>
      <c r="K246" t="s">
        <v>56</v>
      </c>
      <c r="L246">
        <v>0</v>
      </c>
      <c r="M246" t="s">
        <v>73</v>
      </c>
      <c r="N246">
        <v>0</v>
      </c>
      <c r="O246" t="s">
        <v>58</v>
      </c>
      <c r="P246" t="s">
        <v>59</v>
      </c>
      <c r="Q246" t="s">
        <v>216</v>
      </c>
      <c r="R246" t="s">
        <v>637</v>
      </c>
      <c r="S246" s="1">
        <v>44468</v>
      </c>
      <c r="T246" s="1">
        <v>44468</v>
      </c>
      <c r="U246">
        <v>37501</v>
      </c>
      <c r="V246" t="s">
        <v>61</v>
      </c>
      <c r="W246" t="s">
        <v>638</v>
      </c>
      <c r="X246" s="1">
        <v>44475</v>
      </c>
      <c r="Y246" t="s">
        <v>207</v>
      </c>
      <c r="Z246">
        <v>331.92</v>
      </c>
      <c r="AA246">
        <v>16</v>
      </c>
      <c r="AB246">
        <v>47.58</v>
      </c>
      <c r="AC246">
        <v>0</v>
      </c>
      <c r="AD246">
        <v>379.5</v>
      </c>
      <c r="AE246">
        <v>379.5</v>
      </c>
      <c r="AF246">
        <v>545</v>
      </c>
      <c r="AG246" t="s">
        <v>611</v>
      </c>
      <c r="AH246" t="s">
        <v>65</v>
      </c>
      <c r="AI246" t="s">
        <v>65</v>
      </c>
      <c r="AJ246" t="s">
        <v>66</v>
      </c>
      <c r="AK246" t="s">
        <v>66</v>
      </c>
      <c r="AL246" t="s">
        <v>66</v>
      </c>
      <c r="AM246" s="2" t="str">
        <f>HYPERLINK("https://transparencia.cidesi.mx/comprobantes/2021/CQ2100949 /C13384CA98-7493-48E3-AC5D-6A90CC735C35.pdf")</f>
        <v>https://transparencia.cidesi.mx/comprobantes/2021/CQ2100949 /C13384CA98-7493-48E3-AC5D-6A90CC735C35.pdf</v>
      </c>
      <c r="AN246" t="str">
        <f>HYPERLINK("https://transparencia.cidesi.mx/comprobantes/2021/CQ2100949 /C13384CA98-7493-48E3-AC5D-6A90CC735C35.pdf")</f>
        <v>https://transparencia.cidesi.mx/comprobantes/2021/CQ2100949 /C13384CA98-7493-48E3-AC5D-6A90CC735C35.pdf</v>
      </c>
      <c r="AO246" t="str">
        <f>HYPERLINK("https://transparencia.cidesi.mx/comprobantes/2021/CQ2100949 /C13384CA98-7493-48E3-AC5D-6A90CC735C35.xml")</f>
        <v>https://transparencia.cidesi.mx/comprobantes/2021/CQ2100949 /C13384CA98-7493-48E3-AC5D-6A90CC735C35.xml</v>
      </c>
      <c r="AP246" t="s">
        <v>639</v>
      </c>
      <c r="AQ246" t="s">
        <v>640</v>
      </c>
      <c r="AR246" t="s">
        <v>641</v>
      </c>
      <c r="AS246" t="s">
        <v>4</v>
      </c>
      <c r="AT246" s="1">
        <v>44476</v>
      </c>
      <c r="AU246" t="s">
        <v>73</v>
      </c>
    </row>
    <row r="247" spans="1:47" x14ac:dyDescent="0.3">
      <c r="A247" t="s">
        <v>47</v>
      </c>
      <c r="B247" t="s">
        <v>48</v>
      </c>
      <c r="C247" t="s">
        <v>49</v>
      </c>
      <c r="D247">
        <v>507</v>
      </c>
      <c r="E247" t="s">
        <v>302</v>
      </c>
      <c r="F247" t="s">
        <v>642</v>
      </c>
      <c r="G247" t="s">
        <v>642</v>
      </c>
      <c r="H247" t="s">
        <v>643</v>
      </c>
      <c r="I247" t="s">
        <v>54</v>
      </c>
      <c r="J247" t="s">
        <v>644</v>
      </c>
      <c r="K247" t="s">
        <v>56</v>
      </c>
      <c r="L247">
        <v>0</v>
      </c>
      <c r="M247" t="s">
        <v>73</v>
      </c>
      <c r="N247">
        <v>0</v>
      </c>
      <c r="O247" t="s">
        <v>58</v>
      </c>
      <c r="P247" t="s">
        <v>59</v>
      </c>
      <c r="Q247" t="s">
        <v>645</v>
      </c>
      <c r="R247" t="s">
        <v>644</v>
      </c>
      <c r="S247" s="1">
        <v>44417</v>
      </c>
      <c r="T247" s="1">
        <v>44422</v>
      </c>
      <c r="U247">
        <v>37501</v>
      </c>
      <c r="V247" t="s">
        <v>61</v>
      </c>
      <c r="W247" t="s">
        <v>646</v>
      </c>
      <c r="X247" s="1">
        <v>44424</v>
      </c>
      <c r="Y247" t="s">
        <v>63</v>
      </c>
      <c r="Z247">
        <v>172.41</v>
      </c>
      <c r="AA247">
        <v>16</v>
      </c>
      <c r="AB247">
        <v>27.59</v>
      </c>
      <c r="AC247">
        <v>20</v>
      </c>
      <c r="AD247">
        <v>220</v>
      </c>
      <c r="AE247">
        <v>5083.74</v>
      </c>
      <c r="AF247">
        <v>6000</v>
      </c>
      <c r="AG247" t="s">
        <v>647</v>
      </c>
      <c r="AH247" t="s">
        <v>65</v>
      </c>
      <c r="AI247" t="s">
        <v>65</v>
      </c>
      <c r="AJ247" t="s">
        <v>66</v>
      </c>
      <c r="AK247" t="s">
        <v>66</v>
      </c>
      <c r="AL247" t="s">
        <v>66</v>
      </c>
      <c r="AM247" s="2" t="str">
        <f>HYPERLINK("https://transparencia.cidesi.mx/comprobantes/2021/CQ2100650 /C10F162554_SLE0008119V5.pdf.pdf")</f>
        <v>https://transparencia.cidesi.mx/comprobantes/2021/CQ2100650 /C10F162554_SLE0008119V5.pdf.pdf</v>
      </c>
      <c r="AN247" t="str">
        <f>HYPERLINK("https://transparencia.cidesi.mx/comprobantes/2021/CQ2100650 /C10F162554_SLE0008119V5.pdf.pdf")</f>
        <v>https://transparencia.cidesi.mx/comprobantes/2021/CQ2100650 /C10F162554_SLE0008119V5.pdf.pdf</v>
      </c>
      <c r="AO247" t="str">
        <f>HYPERLINK("https://transparencia.cidesi.mx/comprobantes/2021/CQ2100650 /C10F162554_SLE0008119V5.xml.xml")</f>
        <v>https://transparencia.cidesi.mx/comprobantes/2021/CQ2100650 /C10F162554_SLE0008119V5.xml.xml</v>
      </c>
      <c r="AP247" t="s">
        <v>648</v>
      </c>
      <c r="AQ247" t="s">
        <v>649</v>
      </c>
      <c r="AR247" t="s">
        <v>650</v>
      </c>
      <c r="AS247" t="s">
        <v>651</v>
      </c>
      <c r="AT247" s="1">
        <v>44427</v>
      </c>
      <c r="AU247" s="1">
        <v>44428</v>
      </c>
    </row>
    <row r="248" spans="1:47" x14ac:dyDescent="0.3">
      <c r="A248" t="s">
        <v>47</v>
      </c>
      <c r="B248" t="s">
        <v>48</v>
      </c>
      <c r="C248" t="s">
        <v>49</v>
      </c>
      <c r="D248">
        <v>507</v>
      </c>
      <c r="E248" t="s">
        <v>302</v>
      </c>
      <c r="F248" t="s">
        <v>642</v>
      </c>
      <c r="G248" t="s">
        <v>642</v>
      </c>
      <c r="H248" t="s">
        <v>643</v>
      </c>
      <c r="I248" t="s">
        <v>54</v>
      </c>
      <c r="J248" t="s">
        <v>644</v>
      </c>
      <c r="K248" t="s">
        <v>56</v>
      </c>
      <c r="L248">
        <v>0</v>
      </c>
      <c r="M248" t="s">
        <v>73</v>
      </c>
      <c r="N248">
        <v>0</v>
      </c>
      <c r="O248" t="s">
        <v>58</v>
      </c>
      <c r="P248" t="s">
        <v>59</v>
      </c>
      <c r="Q248" t="s">
        <v>645</v>
      </c>
      <c r="R248" t="s">
        <v>644</v>
      </c>
      <c r="S248" s="1">
        <v>44417</v>
      </c>
      <c r="T248" s="1">
        <v>44422</v>
      </c>
      <c r="U248">
        <v>37501</v>
      </c>
      <c r="V248" t="s">
        <v>104</v>
      </c>
      <c r="W248" t="s">
        <v>646</v>
      </c>
      <c r="X248" s="1">
        <v>44424</v>
      </c>
      <c r="Y248" t="s">
        <v>63</v>
      </c>
      <c r="Z248">
        <v>1191.3599999999999</v>
      </c>
      <c r="AA248">
        <v>16</v>
      </c>
      <c r="AB248">
        <v>186.88</v>
      </c>
      <c r="AC248">
        <v>0</v>
      </c>
      <c r="AD248">
        <v>1378.24</v>
      </c>
      <c r="AE248">
        <v>5083.74</v>
      </c>
      <c r="AF248">
        <v>6000</v>
      </c>
      <c r="AG248" t="s">
        <v>652</v>
      </c>
      <c r="AH248" t="s">
        <v>65</v>
      </c>
      <c r="AI248" t="s">
        <v>65</v>
      </c>
      <c r="AJ248" t="s">
        <v>66</v>
      </c>
      <c r="AK248" t="s">
        <v>66</v>
      </c>
      <c r="AL248" t="s">
        <v>66</v>
      </c>
      <c r="AM248" s="2" t="str">
        <f>HYPERLINK("https://transparencia.cidesi.mx/comprobantes/2021/CQ2100650 /C11F113078A_HFR830620BL6.pdf.pdf")</f>
        <v>https://transparencia.cidesi.mx/comprobantes/2021/CQ2100650 /C11F113078A_HFR830620BL6.pdf.pdf</v>
      </c>
      <c r="AN248" t="str">
        <f>HYPERLINK("https://transparencia.cidesi.mx/comprobantes/2021/CQ2100650 /C11F113078A_HFR830620BL6.pdf.pdf")</f>
        <v>https://transparencia.cidesi.mx/comprobantes/2021/CQ2100650 /C11F113078A_HFR830620BL6.pdf.pdf</v>
      </c>
      <c r="AO248" t="str">
        <f>HYPERLINK("https://transparencia.cidesi.mx/comprobantes/2021/CQ2100650 /C11F113078A_HFR830620BL6.xml.xml")</f>
        <v>https://transparencia.cidesi.mx/comprobantes/2021/CQ2100650 /C11F113078A_HFR830620BL6.xml.xml</v>
      </c>
      <c r="AP248" t="s">
        <v>648</v>
      </c>
      <c r="AQ248" t="s">
        <v>649</v>
      </c>
      <c r="AR248" t="s">
        <v>650</v>
      </c>
      <c r="AS248" t="s">
        <v>651</v>
      </c>
      <c r="AT248" s="1">
        <v>44427</v>
      </c>
      <c r="AU248" s="1">
        <v>44428</v>
      </c>
    </row>
    <row r="249" spans="1:47" x14ac:dyDescent="0.3">
      <c r="A249" t="s">
        <v>47</v>
      </c>
      <c r="B249" t="s">
        <v>48</v>
      </c>
      <c r="C249" t="s">
        <v>49</v>
      </c>
      <c r="D249">
        <v>507</v>
      </c>
      <c r="E249" t="s">
        <v>302</v>
      </c>
      <c r="F249" t="s">
        <v>642</v>
      </c>
      <c r="G249" t="s">
        <v>642</v>
      </c>
      <c r="H249" t="s">
        <v>643</v>
      </c>
      <c r="I249" t="s">
        <v>54</v>
      </c>
      <c r="J249" t="s">
        <v>644</v>
      </c>
      <c r="K249" t="s">
        <v>56</v>
      </c>
      <c r="L249">
        <v>0</v>
      </c>
      <c r="M249" t="s">
        <v>73</v>
      </c>
      <c r="N249">
        <v>0</v>
      </c>
      <c r="O249" t="s">
        <v>58</v>
      </c>
      <c r="P249" t="s">
        <v>59</v>
      </c>
      <c r="Q249" t="s">
        <v>645</v>
      </c>
      <c r="R249" t="s">
        <v>644</v>
      </c>
      <c r="S249" s="1">
        <v>44417</v>
      </c>
      <c r="T249" s="1">
        <v>44422</v>
      </c>
      <c r="U249">
        <v>37501</v>
      </c>
      <c r="V249" t="s">
        <v>61</v>
      </c>
      <c r="W249" t="s">
        <v>646</v>
      </c>
      <c r="X249" s="1">
        <v>44424</v>
      </c>
      <c r="Y249" t="s">
        <v>63</v>
      </c>
      <c r="Z249">
        <v>124.14</v>
      </c>
      <c r="AA249">
        <v>16</v>
      </c>
      <c r="AB249">
        <v>19.86</v>
      </c>
      <c r="AC249">
        <v>0</v>
      </c>
      <c r="AD249">
        <v>144</v>
      </c>
      <c r="AE249">
        <v>5083.74</v>
      </c>
      <c r="AF249">
        <v>6000</v>
      </c>
      <c r="AG249" t="s">
        <v>647</v>
      </c>
      <c r="AH249" t="s">
        <v>65</v>
      </c>
      <c r="AI249" t="s">
        <v>65</v>
      </c>
      <c r="AJ249" t="s">
        <v>66</v>
      </c>
      <c r="AK249" t="s">
        <v>66</v>
      </c>
      <c r="AL249" t="s">
        <v>66</v>
      </c>
      <c r="AM249" s="2" t="str">
        <f>HYPERLINK("https://transparencia.cidesi.mx/comprobantes/2021/CQ2100650 /C12F134407A_HPM8708257W1.pdf.pdf")</f>
        <v>https://transparencia.cidesi.mx/comprobantes/2021/CQ2100650 /C12F134407A_HPM8708257W1.pdf.pdf</v>
      </c>
      <c r="AN249" t="str">
        <f>HYPERLINK("https://transparencia.cidesi.mx/comprobantes/2021/CQ2100650 /C12F134407A_HPM8708257W1.pdf.pdf")</f>
        <v>https://transparencia.cidesi.mx/comprobantes/2021/CQ2100650 /C12F134407A_HPM8708257W1.pdf.pdf</v>
      </c>
      <c r="AO249" t="str">
        <f>HYPERLINK("https://transparencia.cidesi.mx/comprobantes/2021/CQ2100650 /C12F134407A_HPM8708257W1.xml.xml")</f>
        <v>https://transparencia.cidesi.mx/comprobantes/2021/CQ2100650 /C12F134407A_HPM8708257W1.xml.xml</v>
      </c>
      <c r="AP249" t="s">
        <v>648</v>
      </c>
      <c r="AQ249" t="s">
        <v>649</v>
      </c>
      <c r="AR249" t="s">
        <v>650</v>
      </c>
      <c r="AS249" t="s">
        <v>651</v>
      </c>
      <c r="AT249" s="1">
        <v>44427</v>
      </c>
      <c r="AU249" s="1">
        <v>44428</v>
      </c>
    </row>
    <row r="250" spans="1:47" x14ac:dyDescent="0.3">
      <c r="A250" t="s">
        <v>47</v>
      </c>
      <c r="B250" t="s">
        <v>48</v>
      </c>
      <c r="C250" t="s">
        <v>49</v>
      </c>
      <c r="D250">
        <v>507</v>
      </c>
      <c r="E250" t="s">
        <v>302</v>
      </c>
      <c r="F250" t="s">
        <v>642</v>
      </c>
      <c r="G250" t="s">
        <v>642</v>
      </c>
      <c r="H250" t="s">
        <v>643</v>
      </c>
      <c r="I250" t="s">
        <v>54</v>
      </c>
      <c r="J250" t="s">
        <v>644</v>
      </c>
      <c r="K250" t="s">
        <v>56</v>
      </c>
      <c r="L250">
        <v>0</v>
      </c>
      <c r="M250" t="s">
        <v>73</v>
      </c>
      <c r="N250">
        <v>0</v>
      </c>
      <c r="O250" t="s">
        <v>58</v>
      </c>
      <c r="P250" t="s">
        <v>59</v>
      </c>
      <c r="Q250" t="s">
        <v>645</v>
      </c>
      <c r="R250" t="s">
        <v>644</v>
      </c>
      <c r="S250" s="1">
        <v>44417</v>
      </c>
      <c r="T250" s="1">
        <v>44422</v>
      </c>
      <c r="U250">
        <v>37501</v>
      </c>
      <c r="V250" t="s">
        <v>61</v>
      </c>
      <c r="W250" t="s">
        <v>646</v>
      </c>
      <c r="X250" s="1">
        <v>44424</v>
      </c>
      <c r="Y250" t="s">
        <v>63</v>
      </c>
      <c r="Z250">
        <v>96.55</v>
      </c>
      <c r="AA250">
        <v>16</v>
      </c>
      <c r="AB250">
        <v>15.45</v>
      </c>
      <c r="AC250">
        <v>0</v>
      </c>
      <c r="AD250">
        <v>112</v>
      </c>
      <c r="AE250">
        <v>5083.74</v>
      </c>
      <c r="AF250">
        <v>6000</v>
      </c>
      <c r="AG250" t="s">
        <v>647</v>
      </c>
      <c r="AH250" t="s">
        <v>65</v>
      </c>
      <c r="AI250" t="s">
        <v>65</v>
      </c>
      <c r="AJ250" t="s">
        <v>66</v>
      </c>
      <c r="AK250" t="s">
        <v>66</v>
      </c>
      <c r="AL250" t="s">
        <v>66</v>
      </c>
      <c r="AM250" s="2" t="str">
        <f>HYPERLINK("https://transparencia.cidesi.mx/comprobantes/2021/CQ2100650 /C13F134422A_HPM8708257W1.pdf.pdf")</f>
        <v>https://transparencia.cidesi.mx/comprobantes/2021/CQ2100650 /C13F134422A_HPM8708257W1.pdf.pdf</v>
      </c>
      <c r="AN250" t="str">
        <f>HYPERLINK("https://transparencia.cidesi.mx/comprobantes/2021/CQ2100650 /C13F134422A_HPM8708257W1.pdf.pdf")</f>
        <v>https://transparencia.cidesi.mx/comprobantes/2021/CQ2100650 /C13F134422A_HPM8708257W1.pdf.pdf</v>
      </c>
      <c r="AO250" t="str">
        <f>HYPERLINK("https://transparencia.cidesi.mx/comprobantes/2021/CQ2100650 /C13F134422A_HPM8708257W1.xml.xml")</f>
        <v>https://transparencia.cidesi.mx/comprobantes/2021/CQ2100650 /C13F134422A_HPM8708257W1.xml.xml</v>
      </c>
      <c r="AP250" t="s">
        <v>648</v>
      </c>
      <c r="AQ250" t="s">
        <v>649</v>
      </c>
      <c r="AR250" t="s">
        <v>650</v>
      </c>
      <c r="AS250" t="s">
        <v>651</v>
      </c>
      <c r="AT250" s="1">
        <v>44427</v>
      </c>
      <c r="AU250" s="1">
        <v>44428</v>
      </c>
    </row>
    <row r="251" spans="1:47" x14ac:dyDescent="0.3">
      <c r="A251" t="s">
        <v>47</v>
      </c>
      <c r="B251" t="s">
        <v>48</v>
      </c>
      <c r="C251" t="s">
        <v>49</v>
      </c>
      <c r="D251">
        <v>507</v>
      </c>
      <c r="E251" t="s">
        <v>302</v>
      </c>
      <c r="F251" t="s">
        <v>642</v>
      </c>
      <c r="G251" t="s">
        <v>642</v>
      </c>
      <c r="H251" t="s">
        <v>643</v>
      </c>
      <c r="I251" t="s">
        <v>54</v>
      </c>
      <c r="J251" t="s">
        <v>644</v>
      </c>
      <c r="K251" t="s">
        <v>56</v>
      </c>
      <c r="L251">
        <v>0</v>
      </c>
      <c r="M251" t="s">
        <v>73</v>
      </c>
      <c r="N251">
        <v>0</v>
      </c>
      <c r="O251" t="s">
        <v>58</v>
      </c>
      <c r="P251" t="s">
        <v>59</v>
      </c>
      <c r="Q251" t="s">
        <v>645</v>
      </c>
      <c r="R251" t="s">
        <v>644</v>
      </c>
      <c r="S251" s="1">
        <v>44417</v>
      </c>
      <c r="T251" s="1">
        <v>44422</v>
      </c>
      <c r="U251">
        <v>37501</v>
      </c>
      <c r="V251" t="s">
        <v>61</v>
      </c>
      <c r="W251" t="s">
        <v>646</v>
      </c>
      <c r="X251" s="1">
        <v>44424</v>
      </c>
      <c r="Y251" t="s">
        <v>63</v>
      </c>
      <c r="Z251">
        <v>79.31</v>
      </c>
      <c r="AA251">
        <v>16</v>
      </c>
      <c r="AB251">
        <v>12.69</v>
      </c>
      <c r="AC251">
        <v>0</v>
      </c>
      <c r="AD251">
        <v>92</v>
      </c>
      <c r="AE251">
        <v>5083.74</v>
      </c>
      <c r="AF251">
        <v>6000</v>
      </c>
      <c r="AG251" t="s">
        <v>647</v>
      </c>
      <c r="AH251" t="s">
        <v>65</v>
      </c>
      <c r="AI251" t="s">
        <v>65</v>
      </c>
      <c r="AJ251" t="s">
        <v>66</v>
      </c>
      <c r="AK251" t="s">
        <v>66</v>
      </c>
      <c r="AL251" t="s">
        <v>66</v>
      </c>
      <c r="AM251" s="2" t="str">
        <f>HYPERLINK("https://transparencia.cidesi.mx/comprobantes/2021/CQ2100650 /C14F134441A_HPM8708257W1.pdf.pdf")</f>
        <v>https://transparencia.cidesi.mx/comprobantes/2021/CQ2100650 /C14F134441A_HPM8708257W1.pdf.pdf</v>
      </c>
      <c r="AN251" t="str">
        <f>HYPERLINK("https://transparencia.cidesi.mx/comprobantes/2021/CQ2100650 /C14F134441A_HPM8708257W1.pdf.pdf")</f>
        <v>https://transparencia.cidesi.mx/comprobantes/2021/CQ2100650 /C14F134441A_HPM8708257W1.pdf.pdf</v>
      </c>
      <c r="AO251" t="str">
        <f>HYPERLINK("https://transparencia.cidesi.mx/comprobantes/2021/CQ2100650 /C14F134441A_HPM8708257W1.xml.xml")</f>
        <v>https://transparencia.cidesi.mx/comprobantes/2021/CQ2100650 /C14F134441A_HPM8708257W1.xml.xml</v>
      </c>
      <c r="AP251" t="s">
        <v>648</v>
      </c>
      <c r="AQ251" t="s">
        <v>649</v>
      </c>
      <c r="AR251" t="s">
        <v>650</v>
      </c>
      <c r="AS251" t="s">
        <v>651</v>
      </c>
      <c r="AT251" s="1">
        <v>44427</v>
      </c>
      <c r="AU251" s="1">
        <v>44428</v>
      </c>
    </row>
    <row r="252" spans="1:47" x14ac:dyDescent="0.3">
      <c r="A252" t="s">
        <v>47</v>
      </c>
      <c r="B252" t="s">
        <v>48</v>
      </c>
      <c r="C252" t="s">
        <v>49</v>
      </c>
      <c r="D252">
        <v>507</v>
      </c>
      <c r="E252" t="s">
        <v>302</v>
      </c>
      <c r="F252" t="s">
        <v>642</v>
      </c>
      <c r="G252" t="s">
        <v>642</v>
      </c>
      <c r="H252" t="s">
        <v>643</v>
      </c>
      <c r="I252" t="s">
        <v>54</v>
      </c>
      <c r="J252" t="s">
        <v>644</v>
      </c>
      <c r="K252" t="s">
        <v>56</v>
      </c>
      <c r="L252">
        <v>0</v>
      </c>
      <c r="M252" t="s">
        <v>73</v>
      </c>
      <c r="N252">
        <v>0</v>
      </c>
      <c r="O252" t="s">
        <v>58</v>
      </c>
      <c r="P252" t="s">
        <v>59</v>
      </c>
      <c r="Q252" t="s">
        <v>645</v>
      </c>
      <c r="R252" t="s">
        <v>644</v>
      </c>
      <c r="S252" s="1">
        <v>44417</v>
      </c>
      <c r="T252" s="1">
        <v>44422</v>
      </c>
      <c r="U252">
        <v>37501</v>
      </c>
      <c r="V252" t="s">
        <v>61</v>
      </c>
      <c r="W252" t="s">
        <v>646</v>
      </c>
      <c r="X252" s="1">
        <v>44424</v>
      </c>
      <c r="Y252" t="s">
        <v>63</v>
      </c>
      <c r="Z252">
        <v>189.81</v>
      </c>
      <c r="AA252">
        <v>16</v>
      </c>
      <c r="AB252">
        <v>15.19</v>
      </c>
      <c r="AC252">
        <v>0</v>
      </c>
      <c r="AD252">
        <v>205</v>
      </c>
      <c r="AE252">
        <v>5083.74</v>
      </c>
      <c r="AF252">
        <v>6000</v>
      </c>
      <c r="AG252" t="s">
        <v>647</v>
      </c>
      <c r="AH252" t="s">
        <v>65</v>
      </c>
      <c r="AI252" t="s">
        <v>65</v>
      </c>
      <c r="AJ252" t="s">
        <v>66</v>
      </c>
      <c r="AK252" t="s">
        <v>66</v>
      </c>
      <c r="AL252" t="s">
        <v>66</v>
      </c>
      <c r="AM252" s="2" t="str">
        <f>HYPERLINK("https://transparencia.cidesi.mx/comprobantes/2021/CQ2100650 /C15F111263_LPR090122AU9.pdf.pdf")</f>
        <v>https://transparencia.cidesi.mx/comprobantes/2021/CQ2100650 /C15F111263_LPR090122AU9.pdf.pdf</v>
      </c>
      <c r="AN252" t="str">
        <f>HYPERLINK("https://transparencia.cidesi.mx/comprobantes/2021/CQ2100650 /C15F111263_LPR090122AU9.pdf.pdf")</f>
        <v>https://transparencia.cidesi.mx/comprobantes/2021/CQ2100650 /C15F111263_LPR090122AU9.pdf.pdf</v>
      </c>
      <c r="AO252" t="str">
        <f>HYPERLINK("https://transparencia.cidesi.mx/comprobantes/2021/CQ2100650 /C15F111263_LPR090122AU9.xml.xml")</f>
        <v>https://transparencia.cidesi.mx/comprobantes/2021/CQ2100650 /C15F111263_LPR090122AU9.xml.xml</v>
      </c>
      <c r="AP252" t="s">
        <v>648</v>
      </c>
      <c r="AQ252" t="s">
        <v>649</v>
      </c>
      <c r="AR252" t="s">
        <v>650</v>
      </c>
      <c r="AS252" t="s">
        <v>651</v>
      </c>
      <c r="AT252" s="1">
        <v>44427</v>
      </c>
      <c r="AU252" s="1">
        <v>44428</v>
      </c>
    </row>
    <row r="253" spans="1:47" x14ac:dyDescent="0.3">
      <c r="A253" t="s">
        <v>47</v>
      </c>
      <c r="B253" t="s">
        <v>48</v>
      </c>
      <c r="C253" t="s">
        <v>49</v>
      </c>
      <c r="D253">
        <v>507</v>
      </c>
      <c r="E253" t="s">
        <v>302</v>
      </c>
      <c r="F253" t="s">
        <v>642</v>
      </c>
      <c r="G253" t="s">
        <v>642</v>
      </c>
      <c r="H253" t="s">
        <v>643</v>
      </c>
      <c r="I253" t="s">
        <v>54</v>
      </c>
      <c r="J253" t="s">
        <v>644</v>
      </c>
      <c r="K253" t="s">
        <v>56</v>
      </c>
      <c r="L253">
        <v>0</v>
      </c>
      <c r="M253" t="s">
        <v>73</v>
      </c>
      <c r="N253">
        <v>0</v>
      </c>
      <c r="O253" t="s">
        <v>58</v>
      </c>
      <c r="P253" t="s">
        <v>59</v>
      </c>
      <c r="Q253" t="s">
        <v>645</v>
      </c>
      <c r="R253" t="s">
        <v>644</v>
      </c>
      <c r="S253" s="1">
        <v>44417</v>
      </c>
      <c r="T253" s="1">
        <v>44422</v>
      </c>
      <c r="U253">
        <v>37501</v>
      </c>
      <c r="V253" t="s">
        <v>61</v>
      </c>
      <c r="W253" t="s">
        <v>646</v>
      </c>
      <c r="X253" s="1">
        <v>44424</v>
      </c>
      <c r="Y253" t="s">
        <v>63</v>
      </c>
      <c r="Z253">
        <v>83.5</v>
      </c>
      <c r="AA253">
        <v>16</v>
      </c>
      <c r="AB253">
        <v>4</v>
      </c>
      <c r="AC253">
        <v>0</v>
      </c>
      <c r="AD253">
        <v>87.5</v>
      </c>
      <c r="AE253">
        <v>5083.74</v>
      </c>
      <c r="AF253">
        <v>6000</v>
      </c>
      <c r="AG253" t="s">
        <v>647</v>
      </c>
      <c r="AH253" t="s">
        <v>65</v>
      </c>
      <c r="AI253" t="s">
        <v>65</v>
      </c>
      <c r="AJ253" t="s">
        <v>66</v>
      </c>
      <c r="AK253" t="s">
        <v>66</v>
      </c>
      <c r="AL253" t="s">
        <v>66</v>
      </c>
      <c r="AM253" s="2" t="str">
        <f>HYPERLINK("https://transparencia.cidesi.mx/comprobantes/2021/CQ2100650 /C16F340961831_CCO8605231N4.pdf.pdf")</f>
        <v>https://transparencia.cidesi.mx/comprobantes/2021/CQ2100650 /C16F340961831_CCO8605231N4.pdf.pdf</v>
      </c>
      <c r="AN253" t="str">
        <f>HYPERLINK("https://transparencia.cidesi.mx/comprobantes/2021/CQ2100650 /C16F340961831_CCO8605231N4.pdf.pdf")</f>
        <v>https://transparencia.cidesi.mx/comprobantes/2021/CQ2100650 /C16F340961831_CCO8605231N4.pdf.pdf</v>
      </c>
      <c r="AO253" t="str">
        <f>HYPERLINK("https://transparencia.cidesi.mx/comprobantes/2021/CQ2100650 /C16F340961831_CCO8605231N4.XML.xml")</f>
        <v>https://transparencia.cidesi.mx/comprobantes/2021/CQ2100650 /C16F340961831_CCO8605231N4.XML.xml</v>
      </c>
      <c r="AP253" t="s">
        <v>648</v>
      </c>
      <c r="AQ253" t="s">
        <v>649</v>
      </c>
      <c r="AR253" t="s">
        <v>650</v>
      </c>
      <c r="AS253" t="s">
        <v>651</v>
      </c>
      <c r="AT253" s="1">
        <v>44427</v>
      </c>
      <c r="AU253" s="1">
        <v>44428</v>
      </c>
    </row>
    <row r="254" spans="1:47" x14ac:dyDescent="0.3">
      <c r="A254" t="s">
        <v>47</v>
      </c>
      <c r="B254" t="s">
        <v>48</v>
      </c>
      <c r="C254" t="s">
        <v>49</v>
      </c>
      <c r="D254">
        <v>507</v>
      </c>
      <c r="E254" t="s">
        <v>302</v>
      </c>
      <c r="F254" t="s">
        <v>642</v>
      </c>
      <c r="G254" t="s">
        <v>642</v>
      </c>
      <c r="H254" t="s">
        <v>643</v>
      </c>
      <c r="I254" t="s">
        <v>54</v>
      </c>
      <c r="J254" t="s">
        <v>644</v>
      </c>
      <c r="K254" t="s">
        <v>56</v>
      </c>
      <c r="L254">
        <v>0</v>
      </c>
      <c r="M254" t="s">
        <v>73</v>
      </c>
      <c r="N254">
        <v>0</v>
      </c>
      <c r="O254" t="s">
        <v>58</v>
      </c>
      <c r="P254" t="s">
        <v>59</v>
      </c>
      <c r="Q254" t="s">
        <v>645</v>
      </c>
      <c r="R254" t="s">
        <v>644</v>
      </c>
      <c r="S254" s="1">
        <v>44417</v>
      </c>
      <c r="T254" s="1">
        <v>44422</v>
      </c>
      <c r="U254">
        <v>37501</v>
      </c>
      <c r="V254" t="s">
        <v>61</v>
      </c>
      <c r="W254" t="s">
        <v>646</v>
      </c>
      <c r="X254" s="1">
        <v>44424</v>
      </c>
      <c r="Y254" t="s">
        <v>63</v>
      </c>
      <c r="Z254">
        <v>102.18</v>
      </c>
      <c r="AA254">
        <v>16</v>
      </c>
      <c r="AB254">
        <v>5.82</v>
      </c>
      <c r="AC254">
        <v>0</v>
      </c>
      <c r="AD254">
        <v>108</v>
      </c>
      <c r="AE254">
        <v>5083.74</v>
      </c>
      <c r="AF254">
        <v>6000</v>
      </c>
      <c r="AG254" t="s">
        <v>647</v>
      </c>
      <c r="AH254" t="s">
        <v>65</v>
      </c>
      <c r="AI254" t="s">
        <v>65</v>
      </c>
      <c r="AJ254" t="s">
        <v>66</v>
      </c>
      <c r="AK254" t="s">
        <v>66</v>
      </c>
      <c r="AL254" t="s">
        <v>66</v>
      </c>
      <c r="AM254" s="2" t="str">
        <f>HYPERLINK("https://transparencia.cidesi.mx/comprobantes/2021/CQ2100650 /C17F340962393_CCO8605231N4.pdf.pdf")</f>
        <v>https://transparencia.cidesi.mx/comprobantes/2021/CQ2100650 /C17F340962393_CCO8605231N4.pdf.pdf</v>
      </c>
      <c r="AN254" t="str">
        <f>HYPERLINK("https://transparencia.cidesi.mx/comprobantes/2021/CQ2100650 /C17F340962393_CCO8605231N4.pdf.pdf")</f>
        <v>https://transparencia.cidesi.mx/comprobantes/2021/CQ2100650 /C17F340962393_CCO8605231N4.pdf.pdf</v>
      </c>
      <c r="AO254" t="str">
        <f>HYPERLINK("https://transparencia.cidesi.mx/comprobantes/2021/CQ2100650 /C17F340962393_CCO8605231N4.xml.xml")</f>
        <v>https://transparencia.cidesi.mx/comprobantes/2021/CQ2100650 /C17F340962393_CCO8605231N4.xml.xml</v>
      </c>
      <c r="AP254" t="s">
        <v>648</v>
      </c>
      <c r="AQ254" t="s">
        <v>649</v>
      </c>
      <c r="AR254" t="s">
        <v>650</v>
      </c>
      <c r="AS254" t="s">
        <v>651</v>
      </c>
      <c r="AT254" s="1">
        <v>44427</v>
      </c>
      <c r="AU254" s="1">
        <v>44428</v>
      </c>
    </row>
    <row r="255" spans="1:47" x14ac:dyDescent="0.3">
      <c r="A255" t="s">
        <v>47</v>
      </c>
      <c r="B255" t="s">
        <v>48</v>
      </c>
      <c r="C255" t="s">
        <v>49</v>
      </c>
      <c r="D255">
        <v>507</v>
      </c>
      <c r="E255" t="s">
        <v>302</v>
      </c>
      <c r="F255" t="s">
        <v>642</v>
      </c>
      <c r="G255" t="s">
        <v>642</v>
      </c>
      <c r="H255" t="s">
        <v>643</v>
      </c>
      <c r="I255" t="s">
        <v>54</v>
      </c>
      <c r="J255" t="s">
        <v>644</v>
      </c>
      <c r="K255" t="s">
        <v>56</v>
      </c>
      <c r="L255">
        <v>0</v>
      </c>
      <c r="M255" t="s">
        <v>73</v>
      </c>
      <c r="N255">
        <v>0</v>
      </c>
      <c r="O255" t="s">
        <v>58</v>
      </c>
      <c r="P255" t="s">
        <v>59</v>
      </c>
      <c r="Q255" t="s">
        <v>645</v>
      </c>
      <c r="R255" t="s">
        <v>644</v>
      </c>
      <c r="S255" s="1">
        <v>44417</v>
      </c>
      <c r="T255" s="1">
        <v>44422</v>
      </c>
      <c r="U255">
        <v>37501</v>
      </c>
      <c r="V255" t="s">
        <v>61</v>
      </c>
      <c r="W255" t="s">
        <v>646</v>
      </c>
      <c r="X255" s="1">
        <v>44424</v>
      </c>
      <c r="Y255" t="s">
        <v>63</v>
      </c>
      <c r="Z255">
        <v>254.63</v>
      </c>
      <c r="AA255">
        <v>16</v>
      </c>
      <c r="AB255">
        <v>20.37</v>
      </c>
      <c r="AC255">
        <v>0</v>
      </c>
      <c r="AD255">
        <v>275</v>
      </c>
      <c r="AE255">
        <v>5083.74</v>
      </c>
      <c r="AF255">
        <v>6000</v>
      </c>
      <c r="AG255" t="s">
        <v>647</v>
      </c>
      <c r="AH255" t="s">
        <v>65</v>
      </c>
      <c r="AI255" t="s">
        <v>65</v>
      </c>
      <c r="AJ255" t="s">
        <v>66</v>
      </c>
      <c r="AK255" t="s">
        <v>66</v>
      </c>
      <c r="AL255" t="s">
        <v>66</v>
      </c>
      <c r="AM255" s="2" t="str">
        <f>HYPERLINK("https://transparencia.cidesi.mx/comprobantes/2021/CQ2100650 /C19F66F0480A_TFM171018KIA.pdf.pdf")</f>
        <v>https://transparencia.cidesi.mx/comprobantes/2021/CQ2100650 /C19F66F0480A_TFM171018KIA.pdf.pdf</v>
      </c>
      <c r="AN255" t="str">
        <f>HYPERLINK("https://transparencia.cidesi.mx/comprobantes/2021/CQ2100650 /C19F66F0480A_TFM171018KIA.pdf.pdf")</f>
        <v>https://transparencia.cidesi.mx/comprobantes/2021/CQ2100650 /C19F66F0480A_TFM171018KIA.pdf.pdf</v>
      </c>
      <c r="AO255" t="str">
        <f>HYPERLINK("https://transparencia.cidesi.mx/comprobantes/2021/CQ2100650 /C19F66F0480A_TFM171018KIA.xml.xml")</f>
        <v>https://transparencia.cidesi.mx/comprobantes/2021/CQ2100650 /C19F66F0480A_TFM171018KIA.xml.xml</v>
      </c>
      <c r="AP255" t="s">
        <v>648</v>
      </c>
      <c r="AQ255" t="s">
        <v>649</v>
      </c>
      <c r="AR255" t="s">
        <v>650</v>
      </c>
      <c r="AS255" t="s">
        <v>651</v>
      </c>
      <c r="AT255" s="1">
        <v>44427</v>
      </c>
      <c r="AU255" s="1">
        <v>44428</v>
      </c>
    </row>
    <row r="256" spans="1:47" x14ac:dyDescent="0.3">
      <c r="A256" t="s">
        <v>47</v>
      </c>
      <c r="B256" t="s">
        <v>48</v>
      </c>
      <c r="C256" t="s">
        <v>49</v>
      </c>
      <c r="D256">
        <v>507</v>
      </c>
      <c r="E256" t="s">
        <v>302</v>
      </c>
      <c r="F256" t="s">
        <v>642</v>
      </c>
      <c r="G256" t="s">
        <v>642</v>
      </c>
      <c r="H256" t="s">
        <v>643</v>
      </c>
      <c r="I256" t="s">
        <v>54</v>
      </c>
      <c r="J256" t="s">
        <v>644</v>
      </c>
      <c r="K256" t="s">
        <v>56</v>
      </c>
      <c r="L256">
        <v>0</v>
      </c>
      <c r="M256" t="s">
        <v>73</v>
      </c>
      <c r="N256">
        <v>0</v>
      </c>
      <c r="O256" t="s">
        <v>58</v>
      </c>
      <c r="P256" t="s">
        <v>59</v>
      </c>
      <c r="Q256" t="s">
        <v>645</v>
      </c>
      <c r="R256" t="s">
        <v>644</v>
      </c>
      <c r="S256" s="1">
        <v>44417</v>
      </c>
      <c r="T256" s="1">
        <v>44422</v>
      </c>
      <c r="U256">
        <v>37501</v>
      </c>
      <c r="V256" t="s">
        <v>104</v>
      </c>
      <c r="W256" t="s">
        <v>646</v>
      </c>
      <c r="X256" s="1">
        <v>44424</v>
      </c>
      <c r="Y256" t="s">
        <v>63</v>
      </c>
      <c r="Z256">
        <v>1705.25</v>
      </c>
      <c r="AA256">
        <v>16</v>
      </c>
      <c r="AB256">
        <v>133.75</v>
      </c>
      <c r="AC256">
        <v>0</v>
      </c>
      <c r="AD256">
        <v>1839</v>
      </c>
      <c r="AE256">
        <v>5083.74</v>
      </c>
      <c r="AF256">
        <v>6000</v>
      </c>
      <c r="AG256" t="s">
        <v>652</v>
      </c>
      <c r="AH256" t="s">
        <v>65</v>
      </c>
      <c r="AI256" t="s">
        <v>65</v>
      </c>
      <c r="AJ256" t="s">
        <v>66</v>
      </c>
      <c r="AK256" t="s">
        <v>66</v>
      </c>
      <c r="AL256" t="s">
        <v>66</v>
      </c>
      <c r="AM256" s="2" t="str">
        <f>HYPERLINK("https://transparencia.cidesi.mx/comprobantes/2021/CQ2100650 /C20FH6337_RGR170426NV0.pdf.pdf")</f>
        <v>https://transparencia.cidesi.mx/comprobantes/2021/CQ2100650 /C20FH6337_RGR170426NV0.pdf.pdf</v>
      </c>
      <c r="AN256" t="str">
        <f>HYPERLINK("https://transparencia.cidesi.mx/comprobantes/2021/CQ2100650 /C20FH6337_RGR170426NV0.pdf.pdf")</f>
        <v>https://transparencia.cidesi.mx/comprobantes/2021/CQ2100650 /C20FH6337_RGR170426NV0.pdf.pdf</v>
      </c>
      <c r="AO256" t="str">
        <f>HYPERLINK("https://transparencia.cidesi.mx/comprobantes/2021/CQ2100650 /C20FH6337_RGR170426NV0.xml.xml")</f>
        <v>https://transparencia.cidesi.mx/comprobantes/2021/CQ2100650 /C20FH6337_RGR170426NV0.xml.xml</v>
      </c>
      <c r="AP256" t="s">
        <v>648</v>
      </c>
      <c r="AQ256" t="s">
        <v>649</v>
      </c>
      <c r="AR256" t="s">
        <v>650</v>
      </c>
      <c r="AS256" t="s">
        <v>651</v>
      </c>
      <c r="AT256" s="1">
        <v>44427</v>
      </c>
      <c r="AU256" s="1">
        <v>44428</v>
      </c>
    </row>
    <row r="257" spans="1:47" x14ac:dyDescent="0.3">
      <c r="A257" t="s">
        <v>47</v>
      </c>
      <c r="B257" t="s">
        <v>48</v>
      </c>
      <c r="C257" t="s">
        <v>49</v>
      </c>
      <c r="D257">
        <v>507</v>
      </c>
      <c r="E257" t="s">
        <v>302</v>
      </c>
      <c r="F257" t="s">
        <v>642</v>
      </c>
      <c r="G257" t="s">
        <v>642</v>
      </c>
      <c r="H257" t="s">
        <v>643</v>
      </c>
      <c r="I257" t="s">
        <v>54</v>
      </c>
      <c r="J257" t="s">
        <v>644</v>
      </c>
      <c r="K257" t="s">
        <v>56</v>
      </c>
      <c r="L257">
        <v>0</v>
      </c>
      <c r="M257" t="s">
        <v>73</v>
      </c>
      <c r="N257">
        <v>0</v>
      </c>
      <c r="O257" t="s">
        <v>58</v>
      </c>
      <c r="P257" t="s">
        <v>59</v>
      </c>
      <c r="Q257" t="s">
        <v>645</v>
      </c>
      <c r="R257" t="s">
        <v>644</v>
      </c>
      <c r="S257" s="1">
        <v>44417</v>
      </c>
      <c r="T257" s="1">
        <v>44422</v>
      </c>
      <c r="U257">
        <v>37501</v>
      </c>
      <c r="V257" t="s">
        <v>61</v>
      </c>
      <c r="W257" t="s">
        <v>646</v>
      </c>
      <c r="X257" s="1">
        <v>44424</v>
      </c>
      <c r="Y257" t="s">
        <v>63</v>
      </c>
      <c r="Z257">
        <v>537.07000000000005</v>
      </c>
      <c r="AA257">
        <v>16</v>
      </c>
      <c r="AB257">
        <v>85.93</v>
      </c>
      <c r="AC257">
        <v>0</v>
      </c>
      <c r="AD257">
        <v>623</v>
      </c>
      <c r="AE257">
        <v>5083.74</v>
      </c>
      <c r="AF257">
        <v>6000</v>
      </c>
      <c r="AG257" t="s">
        <v>647</v>
      </c>
      <c r="AH257" t="s">
        <v>65</v>
      </c>
      <c r="AI257" t="s">
        <v>65</v>
      </c>
      <c r="AJ257" t="s">
        <v>66</v>
      </c>
      <c r="AK257" t="s">
        <v>66</v>
      </c>
      <c r="AL257" t="s">
        <v>66</v>
      </c>
      <c r="AM257" s="2" t="str">
        <f>HYPERLINK("https://transparencia.cidesi.mx/comprobantes/2021/CQ2100650 /C21FA19419_GLA180827321.pdf.pdf")</f>
        <v>https://transparencia.cidesi.mx/comprobantes/2021/CQ2100650 /C21FA19419_GLA180827321.pdf.pdf</v>
      </c>
      <c r="AN257" t="str">
        <f>HYPERLINK("https://transparencia.cidesi.mx/comprobantes/2021/CQ2100650 /C21FA19419_GLA180827321.pdf.pdf")</f>
        <v>https://transparencia.cidesi.mx/comprobantes/2021/CQ2100650 /C21FA19419_GLA180827321.pdf.pdf</v>
      </c>
      <c r="AO257" t="str">
        <f>HYPERLINK("https://transparencia.cidesi.mx/comprobantes/2021/CQ2100650 /C21FA19419_GLA180827321.xml.xml")</f>
        <v>https://transparencia.cidesi.mx/comprobantes/2021/CQ2100650 /C21FA19419_GLA180827321.xml.xml</v>
      </c>
      <c r="AP257" t="s">
        <v>648</v>
      </c>
      <c r="AQ257" t="s">
        <v>649</v>
      </c>
      <c r="AR257" t="s">
        <v>650</v>
      </c>
      <c r="AS257" t="s">
        <v>651</v>
      </c>
      <c r="AT257" s="1">
        <v>44427</v>
      </c>
      <c r="AU257" s="1">
        <v>44428</v>
      </c>
    </row>
    <row r="258" spans="1:47" x14ac:dyDescent="0.3">
      <c r="A258" t="s">
        <v>47</v>
      </c>
      <c r="B258" t="s">
        <v>48</v>
      </c>
      <c r="C258" t="s">
        <v>49</v>
      </c>
      <c r="D258">
        <v>507</v>
      </c>
      <c r="E258" t="s">
        <v>302</v>
      </c>
      <c r="F258" t="s">
        <v>642</v>
      </c>
      <c r="G258" t="s">
        <v>642</v>
      </c>
      <c r="H258" t="s">
        <v>653</v>
      </c>
      <c r="I258" t="s">
        <v>54</v>
      </c>
      <c r="J258" t="s">
        <v>654</v>
      </c>
      <c r="K258" t="s">
        <v>56</v>
      </c>
      <c r="L258">
        <v>0</v>
      </c>
      <c r="M258" t="s">
        <v>73</v>
      </c>
      <c r="N258">
        <v>0</v>
      </c>
      <c r="O258" t="s">
        <v>58</v>
      </c>
      <c r="P258" t="s">
        <v>59</v>
      </c>
      <c r="Q258" t="s">
        <v>655</v>
      </c>
      <c r="R258" t="s">
        <v>654</v>
      </c>
      <c r="S258" s="1">
        <v>44445</v>
      </c>
      <c r="T258" s="1">
        <v>44450</v>
      </c>
      <c r="U258">
        <v>37501</v>
      </c>
      <c r="V258" t="s">
        <v>104</v>
      </c>
      <c r="W258" t="s">
        <v>656</v>
      </c>
      <c r="X258" s="1">
        <v>44449</v>
      </c>
      <c r="Y258" t="s">
        <v>100</v>
      </c>
      <c r="Z258">
        <v>1381.35</v>
      </c>
      <c r="AA258">
        <v>16</v>
      </c>
      <c r="AB258">
        <v>216.68</v>
      </c>
      <c r="AC258">
        <v>0</v>
      </c>
      <c r="AD258">
        <v>1598.03</v>
      </c>
      <c r="AE258">
        <v>2967.93</v>
      </c>
      <c r="AF258">
        <v>6759</v>
      </c>
      <c r="AG258" t="s">
        <v>652</v>
      </c>
      <c r="AH258" t="s">
        <v>65</v>
      </c>
      <c r="AI258" t="s">
        <v>65</v>
      </c>
      <c r="AJ258" t="s">
        <v>66</v>
      </c>
      <c r="AK258" t="s">
        <v>66</v>
      </c>
      <c r="AL258" t="s">
        <v>66</v>
      </c>
      <c r="AM258" s="2" t="str">
        <f>HYPERLINK("https://transparencia.cidesi.mx/comprobantes/2021/CQ2100773 /C1FA-008054-MPA710428RG2.pdf")</f>
        <v>https://transparencia.cidesi.mx/comprobantes/2021/CQ2100773 /C1FA-008054-MPA710428RG2.pdf</v>
      </c>
      <c r="AN258" t="str">
        <f>HYPERLINK("https://transparencia.cidesi.mx/comprobantes/2021/CQ2100773 /C1FA-008054-MPA710428RG2.pdf")</f>
        <v>https://transparencia.cidesi.mx/comprobantes/2021/CQ2100773 /C1FA-008054-MPA710428RG2.pdf</v>
      </c>
      <c r="AO258" t="str">
        <f>HYPERLINK("https://transparencia.cidesi.mx/comprobantes/2021/CQ2100773 /C1FA-008054-MPA710428RG2.xml")</f>
        <v>https://transparencia.cidesi.mx/comprobantes/2021/CQ2100773 /C1FA-008054-MPA710428RG2.xml</v>
      </c>
      <c r="AP258" t="s">
        <v>657</v>
      </c>
      <c r="AQ258" t="s">
        <v>658</v>
      </c>
      <c r="AR258" t="s">
        <v>659</v>
      </c>
      <c r="AS258" t="s">
        <v>660</v>
      </c>
      <c r="AT258" s="1">
        <v>44452</v>
      </c>
      <c r="AU258" t="s">
        <v>73</v>
      </c>
    </row>
    <row r="259" spans="1:47" x14ac:dyDescent="0.3">
      <c r="A259" t="s">
        <v>47</v>
      </c>
      <c r="B259" t="s">
        <v>48</v>
      </c>
      <c r="C259" t="s">
        <v>49</v>
      </c>
      <c r="D259">
        <v>507</v>
      </c>
      <c r="E259" t="s">
        <v>302</v>
      </c>
      <c r="F259" t="s">
        <v>642</v>
      </c>
      <c r="G259" t="s">
        <v>642</v>
      </c>
      <c r="H259" t="s">
        <v>653</v>
      </c>
      <c r="I259" t="s">
        <v>54</v>
      </c>
      <c r="J259" t="s">
        <v>654</v>
      </c>
      <c r="K259" t="s">
        <v>56</v>
      </c>
      <c r="L259">
        <v>0</v>
      </c>
      <c r="M259" t="s">
        <v>73</v>
      </c>
      <c r="N259">
        <v>0</v>
      </c>
      <c r="O259" t="s">
        <v>58</v>
      </c>
      <c r="P259" t="s">
        <v>59</v>
      </c>
      <c r="Q259" t="s">
        <v>655</v>
      </c>
      <c r="R259" t="s">
        <v>654</v>
      </c>
      <c r="S259" s="1">
        <v>44445</v>
      </c>
      <c r="T259" s="1">
        <v>44450</v>
      </c>
      <c r="U259">
        <v>37501</v>
      </c>
      <c r="V259" t="s">
        <v>104</v>
      </c>
      <c r="W259" t="s">
        <v>656</v>
      </c>
      <c r="X259" s="1">
        <v>44449</v>
      </c>
      <c r="Y259" t="s">
        <v>100</v>
      </c>
      <c r="Z259">
        <v>690.66</v>
      </c>
      <c r="AA259">
        <v>16</v>
      </c>
      <c r="AB259">
        <v>108.34</v>
      </c>
      <c r="AC259">
        <v>0</v>
      </c>
      <c r="AD259">
        <v>799</v>
      </c>
      <c r="AE259">
        <v>2967.93</v>
      </c>
      <c r="AF259">
        <v>6759</v>
      </c>
      <c r="AG259" t="s">
        <v>652</v>
      </c>
      <c r="AH259" t="s">
        <v>66</v>
      </c>
      <c r="AI259" t="s">
        <v>65</v>
      </c>
      <c r="AJ259" t="s">
        <v>66</v>
      </c>
      <c r="AK259" t="s">
        <v>66</v>
      </c>
      <c r="AL259" t="s">
        <v>66</v>
      </c>
      <c r="AM259" s="2" t="str">
        <f>HYPERLINK("https://transparencia.cidesi.mx/comprobantes/2021/CQ2100773 /C2FA-008055-MPA710428RG2.pdf")</f>
        <v>https://transparencia.cidesi.mx/comprobantes/2021/CQ2100773 /C2FA-008055-MPA710428RG2.pdf</v>
      </c>
      <c r="AN259" t="str">
        <f>HYPERLINK("https://transparencia.cidesi.mx/comprobantes/2021/CQ2100773 /C2FA-008055-MPA710428RG2.pdf")</f>
        <v>https://transparencia.cidesi.mx/comprobantes/2021/CQ2100773 /C2FA-008055-MPA710428RG2.pdf</v>
      </c>
      <c r="AO259" t="str">
        <f>HYPERLINK("https://transparencia.cidesi.mx/comprobantes/2021/CQ2100773 /C2FA-008055-MPA710428RG2.xml")</f>
        <v>https://transparencia.cidesi.mx/comprobantes/2021/CQ2100773 /C2FA-008055-MPA710428RG2.xml</v>
      </c>
      <c r="AP259" t="s">
        <v>657</v>
      </c>
      <c r="AQ259" t="s">
        <v>658</v>
      </c>
      <c r="AR259" t="s">
        <v>659</v>
      </c>
      <c r="AS259" t="s">
        <v>660</v>
      </c>
      <c r="AT259" s="1">
        <v>44452</v>
      </c>
      <c r="AU259" t="s">
        <v>73</v>
      </c>
    </row>
    <row r="260" spans="1:47" x14ac:dyDescent="0.3">
      <c r="A260" t="s">
        <v>47</v>
      </c>
      <c r="B260" t="s">
        <v>48</v>
      </c>
      <c r="C260" t="s">
        <v>49</v>
      </c>
      <c r="D260">
        <v>507</v>
      </c>
      <c r="E260" t="s">
        <v>302</v>
      </c>
      <c r="F260" t="s">
        <v>642</v>
      </c>
      <c r="G260" t="s">
        <v>642</v>
      </c>
      <c r="H260" t="s">
        <v>653</v>
      </c>
      <c r="I260" t="s">
        <v>54</v>
      </c>
      <c r="J260" t="s">
        <v>654</v>
      </c>
      <c r="K260" t="s">
        <v>56</v>
      </c>
      <c r="L260">
        <v>0</v>
      </c>
      <c r="M260" t="s">
        <v>73</v>
      </c>
      <c r="N260">
        <v>0</v>
      </c>
      <c r="O260" t="s">
        <v>58</v>
      </c>
      <c r="P260" t="s">
        <v>59</v>
      </c>
      <c r="Q260" t="s">
        <v>655</v>
      </c>
      <c r="R260" t="s">
        <v>654</v>
      </c>
      <c r="S260" s="1">
        <v>44445</v>
      </c>
      <c r="T260" s="1">
        <v>44450</v>
      </c>
      <c r="U260">
        <v>37501</v>
      </c>
      <c r="V260" t="s">
        <v>61</v>
      </c>
      <c r="W260" t="s">
        <v>656</v>
      </c>
      <c r="X260" s="1">
        <v>44449</v>
      </c>
      <c r="Y260" t="s">
        <v>100</v>
      </c>
      <c r="Z260">
        <v>106.9</v>
      </c>
      <c r="AA260">
        <v>16</v>
      </c>
      <c r="AB260">
        <v>17.100000000000001</v>
      </c>
      <c r="AC260">
        <v>0</v>
      </c>
      <c r="AD260">
        <v>124</v>
      </c>
      <c r="AE260">
        <v>2967.93</v>
      </c>
      <c r="AF260">
        <v>6759</v>
      </c>
      <c r="AG260" t="s">
        <v>647</v>
      </c>
      <c r="AH260" t="s">
        <v>66</v>
      </c>
      <c r="AI260" t="s">
        <v>65</v>
      </c>
      <c r="AJ260" t="s">
        <v>66</v>
      </c>
      <c r="AK260" t="s">
        <v>66</v>
      </c>
      <c r="AL260" t="s">
        <v>66</v>
      </c>
      <c r="AM260" s="2" t="str">
        <f>HYPERLINK("https://transparencia.cidesi.mx/comprobantes/2021/CQ2100773 /C3FA-008053-MPA710428RG2.pdf")</f>
        <v>https://transparencia.cidesi.mx/comprobantes/2021/CQ2100773 /C3FA-008053-MPA710428RG2.pdf</v>
      </c>
      <c r="AN260" t="str">
        <f>HYPERLINK("https://transparencia.cidesi.mx/comprobantes/2021/CQ2100773 /C3FA-008053-MPA710428RG2.pdf")</f>
        <v>https://transparencia.cidesi.mx/comprobantes/2021/CQ2100773 /C3FA-008053-MPA710428RG2.pdf</v>
      </c>
      <c r="AO260" t="str">
        <f>HYPERLINK("https://transparencia.cidesi.mx/comprobantes/2021/CQ2100773 /C3FA-008053-MPA710428RG2.xml")</f>
        <v>https://transparencia.cidesi.mx/comprobantes/2021/CQ2100773 /C3FA-008053-MPA710428RG2.xml</v>
      </c>
      <c r="AP260" t="s">
        <v>657</v>
      </c>
      <c r="AQ260" t="s">
        <v>658</v>
      </c>
      <c r="AR260" t="s">
        <v>659</v>
      </c>
      <c r="AS260" t="s">
        <v>660</v>
      </c>
      <c r="AT260" s="1">
        <v>44452</v>
      </c>
      <c r="AU260" t="s">
        <v>73</v>
      </c>
    </row>
    <row r="261" spans="1:47" x14ac:dyDescent="0.3">
      <c r="A261" t="s">
        <v>47</v>
      </c>
      <c r="B261" t="s">
        <v>48</v>
      </c>
      <c r="C261" t="s">
        <v>49</v>
      </c>
      <c r="D261">
        <v>507</v>
      </c>
      <c r="E261" t="s">
        <v>302</v>
      </c>
      <c r="F261" t="s">
        <v>642</v>
      </c>
      <c r="G261" t="s">
        <v>642</v>
      </c>
      <c r="H261" t="s">
        <v>653</v>
      </c>
      <c r="I261" t="s">
        <v>54</v>
      </c>
      <c r="J261" t="s">
        <v>654</v>
      </c>
      <c r="K261" t="s">
        <v>56</v>
      </c>
      <c r="L261">
        <v>0</v>
      </c>
      <c r="M261" t="s">
        <v>73</v>
      </c>
      <c r="N261">
        <v>0</v>
      </c>
      <c r="O261" t="s">
        <v>58</v>
      </c>
      <c r="P261" t="s">
        <v>59</v>
      </c>
      <c r="Q261" t="s">
        <v>655</v>
      </c>
      <c r="R261" t="s">
        <v>654</v>
      </c>
      <c r="S261" s="1">
        <v>44445</v>
      </c>
      <c r="T261" s="1">
        <v>44450</v>
      </c>
      <c r="U261">
        <v>37501</v>
      </c>
      <c r="V261" t="s">
        <v>61</v>
      </c>
      <c r="W261" t="s">
        <v>656</v>
      </c>
      <c r="X261" s="1">
        <v>44449</v>
      </c>
      <c r="Y261" t="s">
        <v>100</v>
      </c>
      <c r="Z261">
        <v>171.55</v>
      </c>
      <c r="AA261">
        <v>16</v>
      </c>
      <c r="AB261">
        <v>27.45</v>
      </c>
      <c r="AC261">
        <v>19.899999999999999</v>
      </c>
      <c r="AD261">
        <v>218.9</v>
      </c>
      <c r="AE261">
        <v>2967.93</v>
      </c>
      <c r="AF261">
        <v>6759</v>
      </c>
      <c r="AG261" t="s">
        <v>647</v>
      </c>
      <c r="AH261" t="s">
        <v>66</v>
      </c>
      <c r="AI261" t="s">
        <v>65</v>
      </c>
      <c r="AJ261" t="s">
        <v>66</v>
      </c>
      <c r="AK261" t="s">
        <v>66</v>
      </c>
      <c r="AL261" t="s">
        <v>66</v>
      </c>
      <c r="AM261" s="2" t="str">
        <f>HYPERLINK("https://transparencia.cidesi.mx/comprobantes/2021/CQ2100773 /C4FacturaFRP-178540.pdf")</f>
        <v>https://transparencia.cidesi.mx/comprobantes/2021/CQ2100773 /C4FacturaFRP-178540.pdf</v>
      </c>
      <c r="AN261" t="str">
        <f>HYPERLINK("https://transparencia.cidesi.mx/comprobantes/2021/CQ2100773 /C4FacturaFRP-178540.pdf")</f>
        <v>https://transparencia.cidesi.mx/comprobantes/2021/CQ2100773 /C4FacturaFRP-178540.pdf</v>
      </c>
      <c r="AO261" t="str">
        <f>HYPERLINK("https://transparencia.cidesi.mx/comprobantes/2021/CQ2100773 /C4FacturaFRP-178540.xml")</f>
        <v>https://transparencia.cidesi.mx/comprobantes/2021/CQ2100773 /C4FacturaFRP-178540.xml</v>
      </c>
      <c r="AP261" t="s">
        <v>657</v>
      </c>
      <c r="AQ261" t="s">
        <v>658</v>
      </c>
      <c r="AR261" t="s">
        <v>659</v>
      </c>
      <c r="AS261" t="s">
        <v>660</v>
      </c>
      <c r="AT261" s="1">
        <v>44452</v>
      </c>
      <c r="AU261" t="s">
        <v>73</v>
      </c>
    </row>
    <row r="262" spans="1:47" x14ac:dyDescent="0.3">
      <c r="A262" t="s">
        <v>47</v>
      </c>
      <c r="B262" t="s">
        <v>48</v>
      </c>
      <c r="C262" t="s">
        <v>49</v>
      </c>
      <c r="D262">
        <v>507</v>
      </c>
      <c r="E262" t="s">
        <v>302</v>
      </c>
      <c r="F262" t="s">
        <v>642</v>
      </c>
      <c r="G262" t="s">
        <v>642</v>
      </c>
      <c r="H262" t="s">
        <v>653</v>
      </c>
      <c r="I262" t="s">
        <v>54</v>
      </c>
      <c r="J262" t="s">
        <v>654</v>
      </c>
      <c r="K262" t="s">
        <v>56</v>
      </c>
      <c r="L262">
        <v>0</v>
      </c>
      <c r="M262" t="s">
        <v>73</v>
      </c>
      <c r="N262">
        <v>0</v>
      </c>
      <c r="O262" t="s">
        <v>58</v>
      </c>
      <c r="P262" t="s">
        <v>59</v>
      </c>
      <c r="Q262" t="s">
        <v>655</v>
      </c>
      <c r="R262" t="s">
        <v>654</v>
      </c>
      <c r="S262" s="1">
        <v>44445</v>
      </c>
      <c r="T262" s="1">
        <v>44450</v>
      </c>
      <c r="U262">
        <v>37501</v>
      </c>
      <c r="V262" t="s">
        <v>61</v>
      </c>
      <c r="W262" t="s">
        <v>656</v>
      </c>
      <c r="X262" s="1">
        <v>44449</v>
      </c>
      <c r="Y262" t="s">
        <v>100</v>
      </c>
      <c r="Z262">
        <v>57.07</v>
      </c>
      <c r="AA262">
        <v>16</v>
      </c>
      <c r="AB262">
        <v>2.93</v>
      </c>
      <c r="AC262">
        <v>0</v>
      </c>
      <c r="AD262">
        <v>60</v>
      </c>
      <c r="AE262">
        <v>2967.93</v>
      </c>
      <c r="AF262">
        <v>6759</v>
      </c>
      <c r="AG262" t="s">
        <v>647</v>
      </c>
      <c r="AH262" t="s">
        <v>66</v>
      </c>
      <c r="AI262" t="s">
        <v>65</v>
      </c>
      <c r="AJ262" t="s">
        <v>66</v>
      </c>
      <c r="AK262" t="s">
        <v>66</v>
      </c>
      <c r="AL262" t="s">
        <v>66</v>
      </c>
      <c r="AM262" s="2" t="str">
        <f>HYPERLINK("https://transparencia.cidesi.mx/comprobantes/2021/CQ2100773 /C5FACTURA_1631063098401_344129175.pdf")</f>
        <v>https://transparencia.cidesi.mx/comprobantes/2021/CQ2100773 /C5FACTURA_1631063098401_344129175.pdf</v>
      </c>
      <c r="AN262" t="str">
        <f>HYPERLINK("https://transparencia.cidesi.mx/comprobantes/2021/CQ2100773 /C5FACTURA_1631063098401_344129175.pdf")</f>
        <v>https://transparencia.cidesi.mx/comprobantes/2021/CQ2100773 /C5FACTURA_1631063098401_344129175.pdf</v>
      </c>
      <c r="AO262" t="str">
        <f>HYPERLINK("https://transparencia.cidesi.mx/comprobantes/2021/CQ2100773 /C5FACTURA_1631063098401_344129175.xml")</f>
        <v>https://transparencia.cidesi.mx/comprobantes/2021/CQ2100773 /C5FACTURA_1631063098401_344129175.xml</v>
      </c>
      <c r="AP262" t="s">
        <v>657</v>
      </c>
      <c r="AQ262" t="s">
        <v>658</v>
      </c>
      <c r="AR262" t="s">
        <v>659</v>
      </c>
      <c r="AS262" t="s">
        <v>660</v>
      </c>
      <c r="AT262" s="1">
        <v>44452</v>
      </c>
      <c r="AU262" t="s">
        <v>73</v>
      </c>
    </row>
    <row r="263" spans="1:47" x14ac:dyDescent="0.3">
      <c r="A263" t="s">
        <v>47</v>
      </c>
      <c r="B263" t="s">
        <v>48</v>
      </c>
      <c r="C263" t="s">
        <v>49</v>
      </c>
      <c r="D263">
        <v>507</v>
      </c>
      <c r="E263" t="s">
        <v>302</v>
      </c>
      <c r="F263" t="s">
        <v>642</v>
      </c>
      <c r="G263" t="s">
        <v>642</v>
      </c>
      <c r="H263" t="s">
        <v>653</v>
      </c>
      <c r="I263" t="s">
        <v>54</v>
      </c>
      <c r="J263" t="s">
        <v>654</v>
      </c>
      <c r="K263" t="s">
        <v>56</v>
      </c>
      <c r="L263">
        <v>0</v>
      </c>
      <c r="M263" t="s">
        <v>73</v>
      </c>
      <c r="N263">
        <v>0</v>
      </c>
      <c r="O263" t="s">
        <v>58</v>
      </c>
      <c r="P263" t="s">
        <v>59</v>
      </c>
      <c r="Q263" t="s">
        <v>655</v>
      </c>
      <c r="R263" t="s">
        <v>654</v>
      </c>
      <c r="S263" s="1">
        <v>44445</v>
      </c>
      <c r="T263" s="1">
        <v>44450</v>
      </c>
      <c r="U263">
        <v>37501</v>
      </c>
      <c r="V263" t="s">
        <v>61</v>
      </c>
      <c r="W263" t="s">
        <v>656</v>
      </c>
      <c r="X263" s="1">
        <v>44449</v>
      </c>
      <c r="Y263" t="s">
        <v>100</v>
      </c>
      <c r="Z263">
        <v>24.9</v>
      </c>
      <c r="AA263">
        <v>16</v>
      </c>
      <c r="AB263">
        <v>0.1</v>
      </c>
      <c r="AC263">
        <v>0</v>
      </c>
      <c r="AD263">
        <v>25</v>
      </c>
      <c r="AE263">
        <v>2967.93</v>
      </c>
      <c r="AF263">
        <v>6759</v>
      </c>
      <c r="AG263" t="s">
        <v>647</v>
      </c>
      <c r="AH263" t="s">
        <v>66</v>
      </c>
      <c r="AI263" t="s">
        <v>65</v>
      </c>
      <c r="AJ263" t="s">
        <v>66</v>
      </c>
      <c r="AK263" t="s">
        <v>66</v>
      </c>
      <c r="AL263" t="s">
        <v>66</v>
      </c>
      <c r="AM263" s="2" t="str">
        <f>HYPERLINK("https://transparencia.cidesi.mx/comprobantes/2021/CQ2100773 /C6FACTURA_1631063368052_344129463.pdf")</f>
        <v>https://transparencia.cidesi.mx/comprobantes/2021/CQ2100773 /C6FACTURA_1631063368052_344129463.pdf</v>
      </c>
      <c r="AN263" t="str">
        <f>HYPERLINK("https://transparencia.cidesi.mx/comprobantes/2021/CQ2100773 /C6FACTURA_1631063368052_344129463.pdf")</f>
        <v>https://transparencia.cidesi.mx/comprobantes/2021/CQ2100773 /C6FACTURA_1631063368052_344129463.pdf</v>
      </c>
      <c r="AO263" t="str">
        <f>HYPERLINK("https://transparencia.cidesi.mx/comprobantes/2021/CQ2100773 /C6FACTURA_1631063368052_344129463.xml")</f>
        <v>https://transparencia.cidesi.mx/comprobantes/2021/CQ2100773 /C6FACTURA_1631063368052_344129463.xml</v>
      </c>
      <c r="AP263" t="s">
        <v>657</v>
      </c>
      <c r="AQ263" t="s">
        <v>658</v>
      </c>
      <c r="AR263" t="s">
        <v>659</v>
      </c>
      <c r="AS263" t="s">
        <v>660</v>
      </c>
      <c r="AT263" s="1">
        <v>44452</v>
      </c>
      <c r="AU263" t="s">
        <v>73</v>
      </c>
    </row>
    <row r="264" spans="1:47" x14ac:dyDescent="0.3">
      <c r="A264" t="s">
        <v>47</v>
      </c>
      <c r="B264" t="s">
        <v>48</v>
      </c>
      <c r="C264" t="s">
        <v>49</v>
      </c>
      <c r="D264">
        <v>507</v>
      </c>
      <c r="E264" t="s">
        <v>302</v>
      </c>
      <c r="F264" t="s">
        <v>642</v>
      </c>
      <c r="G264" t="s">
        <v>642</v>
      </c>
      <c r="H264" t="s">
        <v>653</v>
      </c>
      <c r="I264" t="s">
        <v>54</v>
      </c>
      <c r="J264" t="s">
        <v>654</v>
      </c>
      <c r="K264" t="s">
        <v>56</v>
      </c>
      <c r="L264">
        <v>0</v>
      </c>
      <c r="M264" t="s">
        <v>73</v>
      </c>
      <c r="N264">
        <v>0</v>
      </c>
      <c r="O264" t="s">
        <v>58</v>
      </c>
      <c r="P264" t="s">
        <v>59</v>
      </c>
      <c r="Q264" t="s">
        <v>655</v>
      </c>
      <c r="R264" t="s">
        <v>654</v>
      </c>
      <c r="S264" s="1">
        <v>44445</v>
      </c>
      <c r="T264" s="1">
        <v>44450</v>
      </c>
      <c r="U264">
        <v>37501</v>
      </c>
      <c r="V264" t="s">
        <v>61</v>
      </c>
      <c r="W264" t="s">
        <v>656</v>
      </c>
      <c r="X264" s="1">
        <v>44449</v>
      </c>
      <c r="Y264" t="s">
        <v>100</v>
      </c>
      <c r="Z264">
        <v>37.68</v>
      </c>
      <c r="AA264">
        <v>16</v>
      </c>
      <c r="AB264">
        <v>3.32</v>
      </c>
      <c r="AC264">
        <v>0</v>
      </c>
      <c r="AD264">
        <v>41</v>
      </c>
      <c r="AE264">
        <v>2967.93</v>
      </c>
      <c r="AF264">
        <v>6759</v>
      </c>
      <c r="AG264" t="s">
        <v>647</v>
      </c>
      <c r="AH264" t="s">
        <v>65</v>
      </c>
      <c r="AI264" t="s">
        <v>65</v>
      </c>
      <c r="AJ264" t="s">
        <v>66</v>
      </c>
      <c r="AK264" t="s">
        <v>66</v>
      </c>
      <c r="AL264" t="s">
        <v>66</v>
      </c>
      <c r="AM264" s="2" t="str">
        <f>HYPERLINK("https://transparencia.cidesi.mx/comprobantes/2021/CQ2100773 /C7FACTURA_1631069346946_344134227.pdf")</f>
        <v>https://transparencia.cidesi.mx/comprobantes/2021/CQ2100773 /C7FACTURA_1631069346946_344134227.pdf</v>
      </c>
      <c r="AN264" t="str">
        <f>HYPERLINK("https://transparencia.cidesi.mx/comprobantes/2021/CQ2100773 /C7FACTURA_1631069346946_344134227.pdf")</f>
        <v>https://transparencia.cidesi.mx/comprobantes/2021/CQ2100773 /C7FACTURA_1631069346946_344134227.pdf</v>
      </c>
      <c r="AO264" t="str">
        <f>HYPERLINK("https://transparencia.cidesi.mx/comprobantes/2021/CQ2100773 /C7FACTURA_1631069346946_344134227.xml")</f>
        <v>https://transparencia.cidesi.mx/comprobantes/2021/CQ2100773 /C7FACTURA_1631069346946_344134227.xml</v>
      </c>
      <c r="AP264" t="s">
        <v>657</v>
      </c>
      <c r="AQ264" t="s">
        <v>658</v>
      </c>
      <c r="AR264" t="s">
        <v>659</v>
      </c>
      <c r="AS264" t="s">
        <v>660</v>
      </c>
      <c r="AT264" s="1">
        <v>44452</v>
      </c>
      <c r="AU264" t="s">
        <v>73</v>
      </c>
    </row>
    <row r="265" spans="1:47" x14ac:dyDescent="0.3">
      <c r="A265" t="s">
        <v>47</v>
      </c>
      <c r="B265" t="s">
        <v>48</v>
      </c>
      <c r="C265" t="s">
        <v>49</v>
      </c>
      <c r="D265">
        <v>507</v>
      </c>
      <c r="E265" t="s">
        <v>302</v>
      </c>
      <c r="F265" t="s">
        <v>642</v>
      </c>
      <c r="G265" t="s">
        <v>642</v>
      </c>
      <c r="H265" t="s">
        <v>653</v>
      </c>
      <c r="I265" t="s">
        <v>54</v>
      </c>
      <c r="J265" t="s">
        <v>654</v>
      </c>
      <c r="K265" t="s">
        <v>56</v>
      </c>
      <c r="L265">
        <v>0</v>
      </c>
      <c r="M265" t="s">
        <v>73</v>
      </c>
      <c r="N265">
        <v>0</v>
      </c>
      <c r="O265" t="s">
        <v>58</v>
      </c>
      <c r="P265" t="s">
        <v>59</v>
      </c>
      <c r="Q265" t="s">
        <v>655</v>
      </c>
      <c r="R265" t="s">
        <v>654</v>
      </c>
      <c r="S265" s="1">
        <v>44445</v>
      </c>
      <c r="T265" s="1">
        <v>44450</v>
      </c>
      <c r="U265">
        <v>37501</v>
      </c>
      <c r="V265" t="s">
        <v>61</v>
      </c>
      <c r="W265" t="s">
        <v>656</v>
      </c>
      <c r="X265" s="1">
        <v>44449</v>
      </c>
      <c r="Y265" t="s">
        <v>100</v>
      </c>
      <c r="Z265">
        <v>59.9</v>
      </c>
      <c r="AA265">
        <v>16</v>
      </c>
      <c r="AB265">
        <v>0.1</v>
      </c>
      <c r="AC265">
        <v>0</v>
      </c>
      <c r="AD265">
        <v>60</v>
      </c>
      <c r="AE265">
        <v>2967.93</v>
      </c>
      <c r="AF265">
        <v>6759</v>
      </c>
      <c r="AG265" t="s">
        <v>647</v>
      </c>
      <c r="AH265" t="s">
        <v>65</v>
      </c>
      <c r="AI265" t="s">
        <v>65</v>
      </c>
      <c r="AJ265" t="s">
        <v>66</v>
      </c>
      <c r="AK265" t="s">
        <v>66</v>
      </c>
      <c r="AL265" t="s">
        <v>66</v>
      </c>
      <c r="AM265" s="2" t="str">
        <f>HYPERLINK("https://transparencia.cidesi.mx/comprobantes/2021/CQ2100773 /C8FACTURA_1631211525392_344271649.pdf")</f>
        <v>https://transparencia.cidesi.mx/comprobantes/2021/CQ2100773 /C8FACTURA_1631211525392_344271649.pdf</v>
      </c>
      <c r="AN265" t="str">
        <f>HYPERLINK("https://transparencia.cidesi.mx/comprobantes/2021/CQ2100773 /C8FACTURA_1631211525392_344271649.pdf")</f>
        <v>https://transparencia.cidesi.mx/comprobantes/2021/CQ2100773 /C8FACTURA_1631211525392_344271649.pdf</v>
      </c>
      <c r="AO265" t="str">
        <f>HYPERLINK("https://transparencia.cidesi.mx/comprobantes/2021/CQ2100773 /C8FACTURA_1631211525392_344271649.xml")</f>
        <v>https://transparencia.cidesi.mx/comprobantes/2021/CQ2100773 /C8FACTURA_1631211525392_344271649.xml</v>
      </c>
      <c r="AP265" t="s">
        <v>657</v>
      </c>
      <c r="AQ265" t="s">
        <v>658</v>
      </c>
      <c r="AR265" t="s">
        <v>659</v>
      </c>
      <c r="AS265" t="s">
        <v>660</v>
      </c>
      <c r="AT265" s="1">
        <v>44452</v>
      </c>
      <c r="AU265" t="s">
        <v>73</v>
      </c>
    </row>
    <row r="266" spans="1:47" x14ac:dyDescent="0.3">
      <c r="A266" t="s">
        <v>47</v>
      </c>
      <c r="B266" t="s">
        <v>48</v>
      </c>
      <c r="C266" t="s">
        <v>49</v>
      </c>
      <c r="D266">
        <v>507</v>
      </c>
      <c r="E266" t="s">
        <v>302</v>
      </c>
      <c r="F266" t="s">
        <v>642</v>
      </c>
      <c r="G266" t="s">
        <v>642</v>
      </c>
      <c r="H266" t="s">
        <v>653</v>
      </c>
      <c r="I266" t="s">
        <v>54</v>
      </c>
      <c r="J266" t="s">
        <v>654</v>
      </c>
      <c r="K266" t="s">
        <v>56</v>
      </c>
      <c r="L266">
        <v>0</v>
      </c>
      <c r="M266" t="s">
        <v>73</v>
      </c>
      <c r="N266">
        <v>0</v>
      </c>
      <c r="O266" t="s">
        <v>58</v>
      </c>
      <c r="P266" t="s">
        <v>59</v>
      </c>
      <c r="Q266" t="s">
        <v>655</v>
      </c>
      <c r="R266" t="s">
        <v>654</v>
      </c>
      <c r="S266" s="1">
        <v>44445</v>
      </c>
      <c r="T266" s="1">
        <v>44450</v>
      </c>
      <c r="U266">
        <v>37501</v>
      </c>
      <c r="V266" t="s">
        <v>61</v>
      </c>
      <c r="W266" t="s">
        <v>656</v>
      </c>
      <c r="X266" s="1">
        <v>44449</v>
      </c>
      <c r="Y266" t="s">
        <v>100</v>
      </c>
      <c r="Z266">
        <v>41.9</v>
      </c>
      <c r="AA266">
        <v>16</v>
      </c>
      <c r="AB266">
        <v>0.1</v>
      </c>
      <c r="AC266">
        <v>0</v>
      </c>
      <c r="AD266">
        <v>42</v>
      </c>
      <c r="AE266">
        <v>2967.93</v>
      </c>
      <c r="AF266">
        <v>6759</v>
      </c>
      <c r="AG266" t="s">
        <v>647</v>
      </c>
      <c r="AH266" t="s">
        <v>65</v>
      </c>
      <c r="AI266" t="s">
        <v>65</v>
      </c>
      <c r="AJ266" t="s">
        <v>66</v>
      </c>
      <c r="AK266" t="s">
        <v>66</v>
      </c>
      <c r="AL266" t="s">
        <v>66</v>
      </c>
      <c r="AM266" s="2" t="str">
        <f>HYPERLINK("https://transparencia.cidesi.mx/comprobantes/2021/CQ2100773 /C9FACTURA_1631212232423_344273135.pdf")</f>
        <v>https://transparencia.cidesi.mx/comprobantes/2021/CQ2100773 /C9FACTURA_1631212232423_344273135.pdf</v>
      </c>
      <c r="AN266" t="str">
        <f>HYPERLINK("https://transparencia.cidesi.mx/comprobantes/2021/CQ2100773 /C9FACTURA_1631212232423_344273135.pdf")</f>
        <v>https://transparencia.cidesi.mx/comprobantes/2021/CQ2100773 /C9FACTURA_1631212232423_344273135.pdf</v>
      </c>
      <c r="AO266" t="str">
        <f>HYPERLINK("https://transparencia.cidesi.mx/comprobantes/2021/CQ2100773 /C9FACTURA_1631212232423_344273135.xml")</f>
        <v>https://transparencia.cidesi.mx/comprobantes/2021/CQ2100773 /C9FACTURA_1631212232423_344273135.xml</v>
      </c>
      <c r="AP266" t="s">
        <v>657</v>
      </c>
      <c r="AQ266" t="s">
        <v>658</v>
      </c>
      <c r="AR266" t="s">
        <v>659</v>
      </c>
      <c r="AS266" t="s">
        <v>660</v>
      </c>
      <c r="AT266" s="1">
        <v>44452</v>
      </c>
      <c r="AU266" t="s">
        <v>73</v>
      </c>
    </row>
    <row r="267" spans="1:47" x14ac:dyDescent="0.3">
      <c r="A267" t="s">
        <v>47</v>
      </c>
      <c r="B267" t="s">
        <v>48</v>
      </c>
      <c r="C267" t="s">
        <v>49</v>
      </c>
      <c r="D267">
        <v>507</v>
      </c>
      <c r="E267" t="s">
        <v>302</v>
      </c>
      <c r="F267" t="s">
        <v>642</v>
      </c>
      <c r="G267" t="s">
        <v>642</v>
      </c>
      <c r="H267" t="s">
        <v>661</v>
      </c>
      <c r="I267" t="s">
        <v>54</v>
      </c>
      <c r="J267" t="s">
        <v>654</v>
      </c>
      <c r="K267" t="s">
        <v>56</v>
      </c>
      <c r="L267">
        <v>0</v>
      </c>
      <c r="M267" t="s">
        <v>73</v>
      </c>
      <c r="N267">
        <v>0</v>
      </c>
      <c r="O267" t="s">
        <v>58</v>
      </c>
      <c r="P267" t="s">
        <v>59</v>
      </c>
      <c r="Q267" t="s">
        <v>645</v>
      </c>
      <c r="R267" t="s">
        <v>654</v>
      </c>
      <c r="S267" s="1">
        <v>44452</v>
      </c>
      <c r="T267" s="1">
        <v>44456</v>
      </c>
      <c r="U267">
        <v>37501</v>
      </c>
      <c r="V267" t="s">
        <v>61</v>
      </c>
      <c r="W267" t="s">
        <v>662</v>
      </c>
      <c r="X267" s="1">
        <v>44459</v>
      </c>
      <c r="Y267" t="s">
        <v>207</v>
      </c>
      <c r="Z267">
        <v>61.35</v>
      </c>
      <c r="AA267">
        <v>16</v>
      </c>
      <c r="AB267">
        <v>3.15</v>
      </c>
      <c r="AC267">
        <v>0</v>
      </c>
      <c r="AD267">
        <v>64.5</v>
      </c>
      <c r="AE267">
        <v>4146.5600000000004</v>
      </c>
      <c r="AF267">
        <v>4909</v>
      </c>
      <c r="AG267" t="s">
        <v>647</v>
      </c>
      <c r="AH267" t="s">
        <v>65</v>
      </c>
      <c r="AI267" t="s">
        <v>65</v>
      </c>
      <c r="AJ267" t="s">
        <v>66</v>
      </c>
      <c r="AK267" t="s">
        <v>66</v>
      </c>
      <c r="AL267" t="s">
        <v>66</v>
      </c>
      <c r="AM267" s="2" t="str">
        <f>HYPERLINK("https://transparencia.cidesi.mx/comprobantes/2021/CQ2100829 /C1344922979_CCO8605231N4_PDF.pdf")</f>
        <v>https://transparencia.cidesi.mx/comprobantes/2021/CQ2100829 /C1344922979_CCO8605231N4_PDF.pdf</v>
      </c>
      <c r="AN267" t="str">
        <f>HYPERLINK("https://transparencia.cidesi.mx/comprobantes/2021/CQ2100829 /C1344922979_CCO8605231N4_PDF.pdf")</f>
        <v>https://transparencia.cidesi.mx/comprobantes/2021/CQ2100829 /C1344922979_CCO8605231N4_PDF.pdf</v>
      </c>
      <c r="AO267" t="str">
        <f>HYPERLINK("https://transparencia.cidesi.mx/comprobantes/2021/CQ2100829 /C1344922979_CCO8605231N4_XML.xml")</f>
        <v>https://transparencia.cidesi.mx/comprobantes/2021/CQ2100829 /C1344922979_CCO8605231N4_XML.xml</v>
      </c>
      <c r="AP267" t="s">
        <v>663</v>
      </c>
      <c r="AQ267" t="s">
        <v>664</v>
      </c>
      <c r="AR267" t="s">
        <v>665</v>
      </c>
      <c r="AS267" t="s">
        <v>666</v>
      </c>
      <c r="AT267" s="1">
        <v>44462</v>
      </c>
      <c r="AU267" t="s">
        <v>73</v>
      </c>
    </row>
    <row r="268" spans="1:47" x14ac:dyDescent="0.3">
      <c r="A268" t="s">
        <v>47</v>
      </c>
      <c r="B268" t="s">
        <v>48</v>
      </c>
      <c r="C268" t="s">
        <v>49</v>
      </c>
      <c r="D268">
        <v>507</v>
      </c>
      <c r="E268" t="s">
        <v>302</v>
      </c>
      <c r="F268" t="s">
        <v>642</v>
      </c>
      <c r="G268" t="s">
        <v>642</v>
      </c>
      <c r="H268" t="s">
        <v>661</v>
      </c>
      <c r="I268" t="s">
        <v>54</v>
      </c>
      <c r="J268" t="s">
        <v>654</v>
      </c>
      <c r="K268" t="s">
        <v>56</v>
      </c>
      <c r="L268">
        <v>0</v>
      </c>
      <c r="M268" t="s">
        <v>73</v>
      </c>
      <c r="N268">
        <v>0</v>
      </c>
      <c r="O268" t="s">
        <v>58</v>
      </c>
      <c r="P268" t="s">
        <v>59</v>
      </c>
      <c r="Q268" t="s">
        <v>645</v>
      </c>
      <c r="R268" t="s">
        <v>654</v>
      </c>
      <c r="S268" s="1">
        <v>44452</v>
      </c>
      <c r="T268" s="1">
        <v>44456</v>
      </c>
      <c r="U268">
        <v>37501</v>
      </c>
      <c r="V268" t="s">
        <v>61</v>
      </c>
      <c r="W268" t="s">
        <v>662</v>
      </c>
      <c r="X268" s="1">
        <v>44459</v>
      </c>
      <c r="Y268" t="s">
        <v>207</v>
      </c>
      <c r="Z268">
        <v>90.85</v>
      </c>
      <c r="AA268">
        <v>16</v>
      </c>
      <c r="AB268">
        <v>2.15</v>
      </c>
      <c r="AC268">
        <v>0</v>
      </c>
      <c r="AD268">
        <v>93</v>
      </c>
      <c r="AE268">
        <v>4146.5600000000004</v>
      </c>
      <c r="AF268">
        <v>4909</v>
      </c>
      <c r="AG268" t="s">
        <v>647</v>
      </c>
      <c r="AH268" t="s">
        <v>65</v>
      </c>
      <c r="AI268" t="s">
        <v>65</v>
      </c>
      <c r="AJ268" t="s">
        <v>66</v>
      </c>
      <c r="AK268" t="s">
        <v>66</v>
      </c>
      <c r="AL268" t="s">
        <v>66</v>
      </c>
      <c r="AM268" s="2" t="str">
        <f>HYPERLINK("https://transparencia.cidesi.mx/comprobantes/2021/CQ2100829 /C2345029461_CCO8605231N4_PDF.pdf")</f>
        <v>https://transparencia.cidesi.mx/comprobantes/2021/CQ2100829 /C2345029461_CCO8605231N4_PDF.pdf</v>
      </c>
      <c r="AN268" t="str">
        <f>HYPERLINK("https://transparencia.cidesi.mx/comprobantes/2021/CQ2100829 /C2345029461_CCO8605231N4_PDF.pdf")</f>
        <v>https://transparencia.cidesi.mx/comprobantes/2021/CQ2100829 /C2345029461_CCO8605231N4_PDF.pdf</v>
      </c>
      <c r="AO268" t="str">
        <f>HYPERLINK("https://transparencia.cidesi.mx/comprobantes/2021/CQ2100829 /C2345029461_CCO8605231N4_XML.xml")</f>
        <v>https://transparencia.cidesi.mx/comprobantes/2021/CQ2100829 /C2345029461_CCO8605231N4_XML.xml</v>
      </c>
      <c r="AP268" t="s">
        <v>663</v>
      </c>
      <c r="AQ268" t="s">
        <v>664</v>
      </c>
      <c r="AR268" t="s">
        <v>665</v>
      </c>
      <c r="AS268" t="s">
        <v>666</v>
      </c>
      <c r="AT268" s="1">
        <v>44462</v>
      </c>
      <c r="AU268" t="s">
        <v>73</v>
      </c>
    </row>
    <row r="269" spans="1:47" x14ac:dyDescent="0.3">
      <c r="A269" t="s">
        <v>47</v>
      </c>
      <c r="B269" t="s">
        <v>48</v>
      </c>
      <c r="C269" t="s">
        <v>49</v>
      </c>
      <c r="D269">
        <v>507</v>
      </c>
      <c r="E269" t="s">
        <v>302</v>
      </c>
      <c r="F269" t="s">
        <v>642</v>
      </c>
      <c r="G269" t="s">
        <v>642</v>
      </c>
      <c r="H269" t="s">
        <v>661</v>
      </c>
      <c r="I269" t="s">
        <v>54</v>
      </c>
      <c r="J269" t="s">
        <v>654</v>
      </c>
      <c r="K269" t="s">
        <v>56</v>
      </c>
      <c r="L269">
        <v>0</v>
      </c>
      <c r="M269" t="s">
        <v>73</v>
      </c>
      <c r="N269">
        <v>0</v>
      </c>
      <c r="O269" t="s">
        <v>58</v>
      </c>
      <c r="P269" t="s">
        <v>59</v>
      </c>
      <c r="Q269" t="s">
        <v>645</v>
      </c>
      <c r="R269" t="s">
        <v>654</v>
      </c>
      <c r="S269" s="1">
        <v>44452</v>
      </c>
      <c r="T269" s="1">
        <v>44456</v>
      </c>
      <c r="U269">
        <v>37501</v>
      </c>
      <c r="V269" t="s">
        <v>61</v>
      </c>
      <c r="W269" t="s">
        <v>662</v>
      </c>
      <c r="X269" s="1">
        <v>44459</v>
      </c>
      <c r="Y269" t="s">
        <v>207</v>
      </c>
      <c r="Z269">
        <v>124.07</v>
      </c>
      <c r="AA269">
        <v>16</v>
      </c>
      <c r="AB269">
        <v>4.93</v>
      </c>
      <c r="AC269">
        <v>0</v>
      </c>
      <c r="AD269">
        <v>129</v>
      </c>
      <c r="AE269">
        <v>4146.5600000000004</v>
      </c>
      <c r="AF269">
        <v>4909</v>
      </c>
      <c r="AG269" t="s">
        <v>647</v>
      </c>
      <c r="AH269" t="s">
        <v>65</v>
      </c>
      <c r="AI269" t="s">
        <v>65</v>
      </c>
      <c r="AJ269" t="s">
        <v>66</v>
      </c>
      <c r="AK269" t="s">
        <v>66</v>
      </c>
      <c r="AL269" t="s">
        <v>66</v>
      </c>
      <c r="AM269" s="2" t="str">
        <f>HYPERLINK("https://transparencia.cidesi.mx/comprobantes/2021/CQ2100829 /C3344922823_CCO8605231N4_PDF.pdf")</f>
        <v>https://transparencia.cidesi.mx/comprobantes/2021/CQ2100829 /C3344922823_CCO8605231N4_PDF.pdf</v>
      </c>
      <c r="AN269" t="str">
        <f>HYPERLINK("https://transparencia.cidesi.mx/comprobantes/2021/CQ2100829 /C3344922823_CCO8605231N4_PDF.pdf")</f>
        <v>https://transparencia.cidesi.mx/comprobantes/2021/CQ2100829 /C3344922823_CCO8605231N4_PDF.pdf</v>
      </c>
      <c r="AO269" t="str">
        <f>HYPERLINK("https://transparencia.cidesi.mx/comprobantes/2021/CQ2100829 /C3344922823_CCO8605231N4_XML.xml")</f>
        <v>https://transparencia.cidesi.mx/comprobantes/2021/CQ2100829 /C3344922823_CCO8605231N4_XML.xml</v>
      </c>
      <c r="AP269" t="s">
        <v>663</v>
      </c>
      <c r="AQ269" t="s">
        <v>664</v>
      </c>
      <c r="AR269" t="s">
        <v>665</v>
      </c>
      <c r="AS269" t="s">
        <v>666</v>
      </c>
      <c r="AT269" s="1">
        <v>44462</v>
      </c>
      <c r="AU269" t="s">
        <v>73</v>
      </c>
    </row>
    <row r="270" spans="1:47" x14ac:dyDescent="0.3">
      <c r="A270" t="s">
        <v>47</v>
      </c>
      <c r="B270" t="s">
        <v>48</v>
      </c>
      <c r="C270" t="s">
        <v>49</v>
      </c>
      <c r="D270">
        <v>507</v>
      </c>
      <c r="E270" t="s">
        <v>302</v>
      </c>
      <c r="F270" t="s">
        <v>642</v>
      </c>
      <c r="G270" t="s">
        <v>642</v>
      </c>
      <c r="H270" t="s">
        <v>661</v>
      </c>
      <c r="I270" t="s">
        <v>54</v>
      </c>
      <c r="J270" t="s">
        <v>654</v>
      </c>
      <c r="K270" t="s">
        <v>56</v>
      </c>
      <c r="L270">
        <v>0</v>
      </c>
      <c r="M270" t="s">
        <v>73</v>
      </c>
      <c r="N270">
        <v>0</v>
      </c>
      <c r="O270" t="s">
        <v>58</v>
      </c>
      <c r="P270" t="s">
        <v>59</v>
      </c>
      <c r="Q270" t="s">
        <v>645</v>
      </c>
      <c r="R270" t="s">
        <v>654</v>
      </c>
      <c r="S270" s="1">
        <v>44452</v>
      </c>
      <c r="T270" s="1">
        <v>44456</v>
      </c>
      <c r="U270">
        <v>37501</v>
      </c>
      <c r="V270" t="s">
        <v>61</v>
      </c>
      <c r="W270" t="s">
        <v>662</v>
      </c>
      <c r="X270" s="1">
        <v>44459</v>
      </c>
      <c r="Y270" t="s">
        <v>207</v>
      </c>
      <c r="Z270">
        <v>78.72</v>
      </c>
      <c r="AA270">
        <v>16</v>
      </c>
      <c r="AB270">
        <v>2.2799999999999998</v>
      </c>
      <c r="AC270">
        <v>0</v>
      </c>
      <c r="AD270">
        <v>81</v>
      </c>
      <c r="AE270">
        <v>4146.5600000000004</v>
      </c>
      <c r="AF270">
        <v>4909</v>
      </c>
      <c r="AG270" t="s">
        <v>647</v>
      </c>
      <c r="AH270" t="s">
        <v>65</v>
      </c>
      <c r="AI270" t="s">
        <v>65</v>
      </c>
      <c r="AJ270" t="s">
        <v>66</v>
      </c>
      <c r="AK270" t="s">
        <v>66</v>
      </c>
      <c r="AL270" t="s">
        <v>66</v>
      </c>
      <c r="AM270" s="2" t="str">
        <f>HYPERLINK("https://transparencia.cidesi.mx/comprobantes/2021/CQ2100829 /C4344922675_CCO8605231N_PDF.pdf")</f>
        <v>https://transparencia.cidesi.mx/comprobantes/2021/CQ2100829 /C4344922675_CCO8605231N_PDF.pdf</v>
      </c>
      <c r="AN270" t="str">
        <f>HYPERLINK("https://transparencia.cidesi.mx/comprobantes/2021/CQ2100829 /C4344922675_CCO8605231N_PDF.pdf")</f>
        <v>https://transparencia.cidesi.mx/comprobantes/2021/CQ2100829 /C4344922675_CCO8605231N_PDF.pdf</v>
      </c>
      <c r="AO270" t="str">
        <f>HYPERLINK("https://transparencia.cidesi.mx/comprobantes/2021/CQ2100829 /C4344922675_CCO8605231N4_XML.xml")</f>
        <v>https://transparencia.cidesi.mx/comprobantes/2021/CQ2100829 /C4344922675_CCO8605231N4_XML.xml</v>
      </c>
      <c r="AP270" t="s">
        <v>663</v>
      </c>
      <c r="AQ270" t="s">
        <v>664</v>
      </c>
      <c r="AR270" t="s">
        <v>665</v>
      </c>
      <c r="AS270" t="s">
        <v>666</v>
      </c>
      <c r="AT270" s="1">
        <v>44462</v>
      </c>
      <c r="AU270" t="s">
        <v>73</v>
      </c>
    </row>
    <row r="271" spans="1:47" x14ac:dyDescent="0.3">
      <c r="A271" t="s">
        <v>47</v>
      </c>
      <c r="B271" t="s">
        <v>48</v>
      </c>
      <c r="C271" t="s">
        <v>49</v>
      </c>
      <c r="D271">
        <v>507</v>
      </c>
      <c r="E271" t="s">
        <v>302</v>
      </c>
      <c r="F271" t="s">
        <v>642</v>
      </c>
      <c r="G271" t="s">
        <v>642</v>
      </c>
      <c r="H271" t="s">
        <v>661</v>
      </c>
      <c r="I271" t="s">
        <v>54</v>
      </c>
      <c r="J271" t="s">
        <v>654</v>
      </c>
      <c r="K271" t="s">
        <v>56</v>
      </c>
      <c r="L271">
        <v>0</v>
      </c>
      <c r="M271" t="s">
        <v>73</v>
      </c>
      <c r="N271">
        <v>0</v>
      </c>
      <c r="O271" t="s">
        <v>58</v>
      </c>
      <c r="P271" t="s">
        <v>59</v>
      </c>
      <c r="Q271" t="s">
        <v>645</v>
      </c>
      <c r="R271" t="s">
        <v>654</v>
      </c>
      <c r="S271" s="1">
        <v>44452</v>
      </c>
      <c r="T271" s="1">
        <v>44456</v>
      </c>
      <c r="U271">
        <v>37501</v>
      </c>
      <c r="V271" t="s">
        <v>61</v>
      </c>
      <c r="W271" t="s">
        <v>662</v>
      </c>
      <c r="X271" s="1">
        <v>44459</v>
      </c>
      <c r="Y271" t="s">
        <v>207</v>
      </c>
      <c r="Z271">
        <v>236.11</v>
      </c>
      <c r="AA271">
        <v>16</v>
      </c>
      <c r="AB271">
        <v>18.89</v>
      </c>
      <c r="AC271">
        <v>26</v>
      </c>
      <c r="AD271">
        <v>281</v>
      </c>
      <c r="AE271">
        <v>4146.5600000000004</v>
      </c>
      <c r="AF271">
        <v>4909</v>
      </c>
      <c r="AG271" t="s">
        <v>647</v>
      </c>
      <c r="AH271" t="s">
        <v>65</v>
      </c>
      <c r="AI271" t="s">
        <v>65</v>
      </c>
      <c r="AJ271" t="s">
        <v>66</v>
      </c>
      <c r="AK271" t="s">
        <v>66</v>
      </c>
      <c r="AL271" t="s">
        <v>66</v>
      </c>
      <c r="AM271" s="2" t="str">
        <f>HYPERLINK("https://transparencia.cidesi.mx/comprobantes/2021/CQ2100829 /C6111622_LPR090122AU9_PDF.pdf")</f>
        <v>https://transparencia.cidesi.mx/comprobantes/2021/CQ2100829 /C6111622_LPR090122AU9_PDF.pdf</v>
      </c>
      <c r="AN271" t="str">
        <f>HYPERLINK("https://transparencia.cidesi.mx/comprobantes/2021/CQ2100829 /C6111622_LPR090122AU9_PDF.pdf")</f>
        <v>https://transparencia.cidesi.mx/comprobantes/2021/CQ2100829 /C6111622_LPR090122AU9_PDF.pdf</v>
      </c>
      <c r="AO271" t="str">
        <f>HYPERLINK("https://transparencia.cidesi.mx/comprobantes/2021/CQ2100829 /C6111622_LPR090122AU9_XML.xml")</f>
        <v>https://transparencia.cidesi.mx/comprobantes/2021/CQ2100829 /C6111622_LPR090122AU9_XML.xml</v>
      </c>
      <c r="AP271" t="s">
        <v>663</v>
      </c>
      <c r="AQ271" t="s">
        <v>664</v>
      </c>
      <c r="AR271" t="s">
        <v>665</v>
      </c>
      <c r="AS271" t="s">
        <v>666</v>
      </c>
      <c r="AT271" s="1">
        <v>44462</v>
      </c>
      <c r="AU271" t="s">
        <v>73</v>
      </c>
    </row>
    <row r="272" spans="1:47" x14ac:dyDescent="0.3">
      <c r="A272" t="s">
        <v>47</v>
      </c>
      <c r="B272" t="s">
        <v>48</v>
      </c>
      <c r="C272" t="s">
        <v>49</v>
      </c>
      <c r="D272">
        <v>507</v>
      </c>
      <c r="E272" t="s">
        <v>302</v>
      </c>
      <c r="F272" t="s">
        <v>642</v>
      </c>
      <c r="G272" t="s">
        <v>642</v>
      </c>
      <c r="H272" t="s">
        <v>661</v>
      </c>
      <c r="I272" t="s">
        <v>54</v>
      </c>
      <c r="J272" t="s">
        <v>654</v>
      </c>
      <c r="K272" t="s">
        <v>56</v>
      </c>
      <c r="L272">
        <v>0</v>
      </c>
      <c r="M272" t="s">
        <v>73</v>
      </c>
      <c r="N272">
        <v>0</v>
      </c>
      <c r="O272" t="s">
        <v>58</v>
      </c>
      <c r="P272" t="s">
        <v>59</v>
      </c>
      <c r="Q272" t="s">
        <v>645</v>
      </c>
      <c r="R272" t="s">
        <v>654</v>
      </c>
      <c r="S272" s="1">
        <v>44452</v>
      </c>
      <c r="T272" s="1">
        <v>44456</v>
      </c>
      <c r="U272">
        <v>37501</v>
      </c>
      <c r="V272" t="s">
        <v>61</v>
      </c>
      <c r="W272" t="s">
        <v>662</v>
      </c>
      <c r="X272" s="1">
        <v>44459</v>
      </c>
      <c r="Y272" t="s">
        <v>207</v>
      </c>
      <c r="Z272">
        <v>168.52</v>
      </c>
      <c r="AA272">
        <v>16</v>
      </c>
      <c r="AB272">
        <v>13.48</v>
      </c>
      <c r="AC272">
        <v>18</v>
      </c>
      <c r="AD272">
        <v>200</v>
      </c>
      <c r="AE272">
        <v>4146.5600000000004</v>
      </c>
      <c r="AF272">
        <v>4909</v>
      </c>
      <c r="AG272" t="s">
        <v>647</v>
      </c>
      <c r="AH272" t="s">
        <v>65</v>
      </c>
      <c r="AI272" t="s">
        <v>65</v>
      </c>
      <c r="AJ272" t="s">
        <v>66</v>
      </c>
      <c r="AK272" t="s">
        <v>66</v>
      </c>
      <c r="AL272" t="s">
        <v>66</v>
      </c>
      <c r="AM272" s="2" t="str">
        <f>HYPERLINK("https://transparencia.cidesi.mx/comprobantes/2021/CQ2100829 /C7111633_LPR090122AU9_PDF.pdf")</f>
        <v>https://transparencia.cidesi.mx/comprobantes/2021/CQ2100829 /C7111633_LPR090122AU9_PDF.pdf</v>
      </c>
      <c r="AN272" t="str">
        <f>HYPERLINK("https://transparencia.cidesi.mx/comprobantes/2021/CQ2100829 /C7111633_LPR090122AU9_PDF.pdf")</f>
        <v>https://transparencia.cidesi.mx/comprobantes/2021/CQ2100829 /C7111633_LPR090122AU9_PDF.pdf</v>
      </c>
      <c r="AO272" t="str">
        <f>HYPERLINK("https://transparencia.cidesi.mx/comprobantes/2021/CQ2100829 /C7111633_LPR090122AU9_XML.xml")</f>
        <v>https://transparencia.cidesi.mx/comprobantes/2021/CQ2100829 /C7111633_LPR090122AU9_XML.xml</v>
      </c>
      <c r="AP272" t="s">
        <v>663</v>
      </c>
      <c r="AQ272" t="s">
        <v>664</v>
      </c>
      <c r="AR272" t="s">
        <v>665</v>
      </c>
      <c r="AS272" t="s">
        <v>666</v>
      </c>
      <c r="AT272" s="1">
        <v>44462</v>
      </c>
      <c r="AU272" t="s">
        <v>73</v>
      </c>
    </row>
    <row r="273" spans="1:47" x14ac:dyDescent="0.3">
      <c r="A273" t="s">
        <v>47</v>
      </c>
      <c r="B273" t="s">
        <v>48</v>
      </c>
      <c r="C273" t="s">
        <v>49</v>
      </c>
      <c r="D273">
        <v>507</v>
      </c>
      <c r="E273" t="s">
        <v>302</v>
      </c>
      <c r="F273" t="s">
        <v>642</v>
      </c>
      <c r="G273" t="s">
        <v>642</v>
      </c>
      <c r="H273" t="s">
        <v>661</v>
      </c>
      <c r="I273" t="s">
        <v>54</v>
      </c>
      <c r="J273" t="s">
        <v>654</v>
      </c>
      <c r="K273" t="s">
        <v>56</v>
      </c>
      <c r="L273">
        <v>0</v>
      </c>
      <c r="M273" t="s">
        <v>73</v>
      </c>
      <c r="N273">
        <v>0</v>
      </c>
      <c r="O273" t="s">
        <v>58</v>
      </c>
      <c r="P273" t="s">
        <v>59</v>
      </c>
      <c r="Q273" t="s">
        <v>645</v>
      </c>
      <c r="R273" t="s">
        <v>654</v>
      </c>
      <c r="S273" s="1">
        <v>44452</v>
      </c>
      <c r="T273" s="1">
        <v>44456</v>
      </c>
      <c r="U273">
        <v>37501</v>
      </c>
      <c r="V273" t="s">
        <v>61</v>
      </c>
      <c r="W273" t="s">
        <v>662</v>
      </c>
      <c r="X273" s="1">
        <v>44459</v>
      </c>
      <c r="Y273" t="s">
        <v>207</v>
      </c>
      <c r="Z273">
        <v>94.85</v>
      </c>
      <c r="AA273">
        <v>16</v>
      </c>
      <c r="AB273">
        <v>15.18</v>
      </c>
      <c r="AC273">
        <v>0</v>
      </c>
      <c r="AD273">
        <v>110.03</v>
      </c>
      <c r="AE273">
        <v>4146.5600000000004</v>
      </c>
      <c r="AF273">
        <v>4909</v>
      </c>
      <c r="AG273" t="s">
        <v>647</v>
      </c>
      <c r="AH273" t="s">
        <v>65</v>
      </c>
      <c r="AI273" t="s">
        <v>65</v>
      </c>
      <c r="AJ273" t="s">
        <v>66</v>
      </c>
      <c r="AK273" t="s">
        <v>66</v>
      </c>
      <c r="AL273" t="s">
        <v>66</v>
      </c>
      <c r="AM273" s="2" t="str">
        <f>HYPERLINK("https://transparencia.cidesi.mx/comprobantes/2021/CQ2100829 /C8B2779_PSG8110295SE4_PDF.pdf")</f>
        <v>https://transparencia.cidesi.mx/comprobantes/2021/CQ2100829 /C8B2779_PSG8110295SE4_PDF.pdf</v>
      </c>
      <c r="AN273" t="str">
        <f>HYPERLINK("https://transparencia.cidesi.mx/comprobantes/2021/CQ2100829 /C8B2779_PSG8110295SE4_PDF.pdf")</f>
        <v>https://transparencia.cidesi.mx/comprobantes/2021/CQ2100829 /C8B2779_PSG8110295SE4_PDF.pdf</v>
      </c>
      <c r="AO273" t="str">
        <f>HYPERLINK("https://transparencia.cidesi.mx/comprobantes/2021/CQ2100829 /C8B2779_PSG8110295SE4_XML.xml")</f>
        <v>https://transparencia.cidesi.mx/comprobantes/2021/CQ2100829 /C8B2779_PSG8110295SE4_XML.xml</v>
      </c>
      <c r="AP273" t="s">
        <v>663</v>
      </c>
      <c r="AQ273" t="s">
        <v>664</v>
      </c>
      <c r="AR273" t="s">
        <v>665</v>
      </c>
      <c r="AS273" t="s">
        <v>666</v>
      </c>
      <c r="AT273" s="1">
        <v>44462</v>
      </c>
      <c r="AU273" t="s">
        <v>73</v>
      </c>
    </row>
    <row r="274" spans="1:47" x14ac:dyDescent="0.3">
      <c r="A274" t="s">
        <v>47</v>
      </c>
      <c r="B274" t="s">
        <v>48</v>
      </c>
      <c r="C274" t="s">
        <v>49</v>
      </c>
      <c r="D274">
        <v>507</v>
      </c>
      <c r="E274" t="s">
        <v>302</v>
      </c>
      <c r="F274" t="s">
        <v>642</v>
      </c>
      <c r="G274" t="s">
        <v>642</v>
      </c>
      <c r="H274" t="s">
        <v>661</v>
      </c>
      <c r="I274" t="s">
        <v>54</v>
      </c>
      <c r="J274" t="s">
        <v>654</v>
      </c>
      <c r="K274" t="s">
        <v>56</v>
      </c>
      <c r="L274">
        <v>0</v>
      </c>
      <c r="M274" t="s">
        <v>73</v>
      </c>
      <c r="N274">
        <v>0</v>
      </c>
      <c r="O274" t="s">
        <v>58</v>
      </c>
      <c r="P274" t="s">
        <v>59</v>
      </c>
      <c r="Q274" t="s">
        <v>645</v>
      </c>
      <c r="R274" t="s">
        <v>654</v>
      </c>
      <c r="S274" s="1">
        <v>44452</v>
      </c>
      <c r="T274" s="1">
        <v>44456</v>
      </c>
      <c r="U274">
        <v>37501</v>
      </c>
      <c r="V274" t="s">
        <v>61</v>
      </c>
      <c r="W274" t="s">
        <v>662</v>
      </c>
      <c r="X274" s="1">
        <v>44459</v>
      </c>
      <c r="Y274" t="s">
        <v>207</v>
      </c>
      <c r="Z274">
        <v>77.599999999999994</v>
      </c>
      <c r="AA274">
        <v>16</v>
      </c>
      <c r="AB274">
        <v>12.42</v>
      </c>
      <c r="AC274">
        <v>0</v>
      </c>
      <c r="AD274">
        <v>90.02</v>
      </c>
      <c r="AE274">
        <v>4146.5600000000004</v>
      </c>
      <c r="AF274">
        <v>4909</v>
      </c>
      <c r="AG274" t="s">
        <v>647</v>
      </c>
      <c r="AH274" t="s">
        <v>65</v>
      </c>
      <c r="AI274" t="s">
        <v>65</v>
      </c>
      <c r="AJ274" t="s">
        <v>66</v>
      </c>
      <c r="AK274" t="s">
        <v>66</v>
      </c>
      <c r="AL274" t="s">
        <v>66</v>
      </c>
      <c r="AM274" s="2" t="str">
        <f>HYPERLINK("https://transparencia.cidesi.mx/comprobantes/2021/CQ2100829 /C9B2784_PSG8110295SE4_PDF.pdf")</f>
        <v>https://transparencia.cidesi.mx/comprobantes/2021/CQ2100829 /C9B2784_PSG8110295SE4_PDF.pdf</v>
      </c>
      <c r="AN274" t="str">
        <f>HYPERLINK("https://transparencia.cidesi.mx/comprobantes/2021/CQ2100829 /C9B2784_PSG8110295SE4_PDF.pdf")</f>
        <v>https://transparencia.cidesi.mx/comprobantes/2021/CQ2100829 /C9B2784_PSG8110295SE4_PDF.pdf</v>
      </c>
      <c r="AO274" t="str">
        <f>HYPERLINK("https://transparencia.cidesi.mx/comprobantes/2021/CQ2100829 /C9B2784_PSG8110295SE4_XML.xml")</f>
        <v>https://transparencia.cidesi.mx/comprobantes/2021/CQ2100829 /C9B2784_PSG8110295SE4_XML.xml</v>
      </c>
      <c r="AP274" t="s">
        <v>663</v>
      </c>
      <c r="AQ274" t="s">
        <v>664</v>
      </c>
      <c r="AR274" t="s">
        <v>665</v>
      </c>
      <c r="AS274" t="s">
        <v>666</v>
      </c>
      <c r="AT274" s="1">
        <v>44462</v>
      </c>
      <c r="AU274" t="s">
        <v>73</v>
      </c>
    </row>
    <row r="275" spans="1:47" x14ac:dyDescent="0.3">
      <c r="A275" t="s">
        <v>47</v>
      </c>
      <c r="B275" t="s">
        <v>48</v>
      </c>
      <c r="C275" t="s">
        <v>49</v>
      </c>
      <c r="D275">
        <v>507</v>
      </c>
      <c r="E275" t="s">
        <v>302</v>
      </c>
      <c r="F275" t="s">
        <v>642</v>
      </c>
      <c r="G275" t="s">
        <v>642</v>
      </c>
      <c r="H275" t="s">
        <v>661</v>
      </c>
      <c r="I275" t="s">
        <v>54</v>
      </c>
      <c r="J275" t="s">
        <v>654</v>
      </c>
      <c r="K275" t="s">
        <v>56</v>
      </c>
      <c r="L275">
        <v>0</v>
      </c>
      <c r="M275" t="s">
        <v>73</v>
      </c>
      <c r="N275">
        <v>0</v>
      </c>
      <c r="O275" t="s">
        <v>58</v>
      </c>
      <c r="P275" t="s">
        <v>59</v>
      </c>
      <c r="Q275" t="s">
        <v>645</v>
      </c>
      <c r="R275" t="s">
        <v>654</v>
      </c>
      <c r="S275" s="1">
        <v>44452</v>
      </c>
      <c r="T275" s="1">
        <v>44456</v>
      </c>
      <c r="U275">
        <v>37501</v>
      </c>
      <c r="V275" t="s">
        <v>104</v>
      </c>
      <c r="W275" t="s">
        <v>662</v>
      </c>
      <c r="X275" s="1">
        <v>44459</v>
      </c>
      <c r="Y275" t="s">
        <v>207</v>
      </c>
      <c r="Z275">
        <v>562.61</v>
      </c>
      <c r="AA275">
        <v>16</v>
      </c>
      <c r="AB275">
        <v>87.4</v>
      </c>
      <c r="AC275">
        <v>0</v>
      </c>
      <c r="AD275">
        <v>650.01</v>
      </c>
      <c r="AE275">
        <v>4146.5600000000004</v>
      </c>
      <c r="AF275">
        <v>4909</v>
      </c>
      <c r="AG275" t="s">
        <v>652</v>
      </c>
      <c r="AH275" t="s">
        <v>65</v>
      </c>
      <c r="AI275" t="s">
        <v>65</v>
      </c>
      <c r="AJ275" t="s">
        <v>66</v>
      </c>
      <c r="AK275" t="s">
        <v>66</v>
      </c>
      <c r="AL275" t="s">
        <v>66</v>
      </c>
      <c r="AM275" s="2" t="str">
        <f>HYPERLINK("https://transparencia.cidesi.mx/comprobantes/2021/CQ2100829 /C1027078_PSG8110295SE4_PDF.pdf")</f>
        <v>https://transparencia.cidesi.mx/comprobantes/2021/CQ2100829 /C1027078_PSG8110295SE4_PDF.pdf</v>
      </c>
      <c r="AN275" t="str">
        <f>HYPERLINK("https://transparencia.cidesi.mx/comprobantes/2021/CQ2100829 /C1027078_PSG8110295SE4_PDF.pdf")</f>
        <v>https://transparencia.cidesi.mx/comprobantes/2021/CQ2100829 /C1027078_PSG8110295SE4_PDF.pdf</v>
      </c>
      <c r="AO275" t="str">
        <f>HYPERLINK("https://transparencia.cidesi.mx/comprobantes/2021/CQ2100829 /C1027078_PSG8110295SE4_XML.xml")</f>
        <v>https://transparencia.cidesi.mx/comprobantes/2021/CQ2100829 /C1027078_PSG8110295SE4_XML.xml</v>
      </c>
      <c r="AP275" t="s">
        <v>663</v>
      </c>
      <c r="AQ275" t="s">
        <v>664</v>
      </c>
      <c r="AR275" t="s">
        <v>665</v>
      </c>
      <c r="AS275" t="s">
        <v>666</v>
      </c>
      <c r="AT275" s="1">
        <v>44462</v>
      </c>
      <c r="AU275" t="s">
        <v>73</v>
      </c>
    </row>
    <row r="276" spans="1:47" x14ac:dyDescent="0.3">
      <c r="A276" t="s">
        <v>47</v>
      </c>
      <c r="B276" t="s">
        <v>48</v>
      </c>
      <c r="C276" t="s">
        <v>49</v>
      </c>
      <c r="D276">
        <v>507</v>
      </c>
      <c r="E276" t="s">
        <v>302</v>
      </c>
      <c r="F276" t="s">
        <v>642</v>
      </c>
      <c r="G276" t="s">
        <v>642</v>
      </c>
      <c r="H276" t="s">
        <v>661</v>
      </c>
      <c r="I276" t="s">
        <v>54</v>
      </c>
      <c r="J276" t="s">
        <v>654</v>
      </c>
      <c r="K276" t="s">
        <v>56</v>
      </c>
      <c r="L276">
        <v>0</v>
      </c>
      <c r="M276" t="s">
        <v>73</v>
      </c>
      <c r="N276">
        <v>0</v>
      </c>
      <c r="O276" t="s">
        <v>58</v>
      </c>
      <c r="P276" t="s">
        <v>59</v>
      </c>
      <c r="Q276" t="s">
        <v>645</v>
      </c>
      <c r="R276" t="s">
        <v>654</v>
      </c>
      <c r="S276" s="1">
        <v>44452</v>
      </c>
      <c r="T276" s="1">
        <v>44456</v>
      </c>
      <c r="U276">
        <v>37501</v>
      </c>
      <c r="V276" t="s">
        <v>104</v>
      </c>
      <c r="W276" t="s">
        <v>662</v>
      </c>
      <c r="X276" s="1">
        <v>44459</v>
      </c>
      <c r="Y276" t="s">
        <v>207</v>
      </c>
      <c r="Z276">
        <v>1513.31</v>
      </c>
      <c r="AA276">
        <v>16</v>
      </c>
      <c r="AB276">
        <v>118.69</v>
      </c>
      <c r="AC276">
        <v>0</v>
      </c>
      <c r="AD276">
        <v>1632</v>
      </c>
      <c r="AE276">
        <v>4146.5600000000004</v>
      </c>
      <c r="AF276">
        <v>4909</v>
      </c>
      <c r="AG276" t="s">
        <v>652</v>
      </c>
      <c r="AH276" t="s">
        <v>65</v>
      </c>
      <c r="AI276" t="s">
        <v>65</v>
      </c>
      <c r="AJ276" t="s">
        <v>66</v>
      </c>
      <c r="AK276" t="s">
        <v>66</v>
      </c>
      <c r="AL276" t="s">
        <v>66</v>
      </c>
      <c r="AM276" s="2" t="str">
        <f>HYPERLINK("https://transparencia.cidesi.mx/comprobantes/2021/CQ2100829 /C11H0000006603_RGR170426NVO_PDF.pdf")</f>
        <v>https://transparencia.cidesi.mx/comprobantes/2021/CQ2100829 /C11H0000006603_RGR170426NVO_PDF.pdf</v>
      </c>
      <c r="AN276" t="str">
        <f>HYPERLINK("https://transparencia.cidesi.mx/comprobantes/2021/CQ2100829 /C11H0000006603_RGR170426NVO_PDF.pdf")</f>
        <v>https://transparencia.cidesi.mx/comprobantes/2021/CQ2100829 /C11H0000006603_RGR170426NVO_PDF.pdf</v>
      </c>
      <c r="AO276" t="str">
        <f>HYPERLINK("https://transparencia.cidesi.mx/comprobantes/2021/CQ2100829 /C11H0000006603_RGR170426NVO_XML.xml")</f>
        <v>https://transparencia.cidesi.mx/comprobantes/2021/CQ2100829 /C11H0000006603_RGR170426NVO_XML.xml</v>
      </c>
      <c r="AP276" t="s">
        <v>663</v>
      </c>
      <c r="AQ276" t="s">
        <v>664</v>
      </c>
      <c r="AR276" t="s">
        <v>665</v>
      </c>
      <c r="AS276" t="s">
        <v>666</v>
      </c>
      <c r="AT276" s="1">
        <v>44462</v>
      </c>
      <c r="AU276" t="s">
        <v>73</v>
      </c>
    </row>
    <row r="277" spans="1:47" x14ac:dyDescent="0.3">
      <c r="A277" t="s">
        <v>47</v>
      </c>
      <c r="B277" t="s">
        <v>48</v>
      </c>
      <c r="C277" t="s">
        <v>49</v>
      </c>
      <c r="D277">
        <v>507</v>
      </c>
      <c r="E277" t="s">
        <v>302</v>
      </c>
      <c r="F277" t="s">
        <v>642</v>
      </c>
      <c r="G277" t="s">
        <v>642</v>
      </c>
      <c r="H277" t="s">
        <v>661</v>
      </c>
      <c r="I277" t="s">
        <v>54</v>
      </c>
      <c r="J277" t="s">
        <v>654</v>
      </c>
      <c r="K277" t="s">
        <v>56</v>
      </c>
      <c r="L277">
        <v>0</v>
      </c>
      <c r="M277" t="s">
        <v>73</v>
      </c>
      <c r="N277">
        <v>0</v>
      </c>
      <c r="O277" t="s">
        <v>58</v>
      </c>
      <c r="P277" t="s">
        <v>59</v>
      </c>
      <c r="Q277" t="s">
        <v>645</v>
      </c>
      <c r="R277" t="s">
        <v>654</v>
      </c>
      <c r="S277" s="1">
        <v>44452</v>
      </c>
      <c r="T277" s="1">
        <v>44456</v>
      </c>
      <c r="U277">
        <v>37501</v>
      </c>
      <c r="V277" t="s">
        <v>104</v>
      </c>
      <c r="W277" t="s">
        <v>662</v>
      </c>
      <c r="X277" s="1">
        <v>44459</v>
      </c>
      <c r="Y277" t="s">
        <v>207</v>
      </c>
      <c r="Z277">
        <v>756.65</v>
      </c>
      <c r="AA277">
        <v>16</v>
      </c>
      <c r="AB277">
        <v>59.35</v>
      </c>
      <c r="AC277">
        <v>0</v>
      </c>
      <c r="AD277">
        <v>816</v>
      </c>
      <c r="AE277">
        <v>4146.5600000000004</v>
      </c>
      <c r="AF277">
        <v>4909</v>
      </c>
      <c r="AG277" t="s">
        <v>652</v>
      </c>
      <c r="AH277" t="s">
        <v>65</v>
      </c>
      <c r="AI277" t="s">
        <v>65</v>
      </c>
      <c r="AJ277" t="s">
        <v>66</v>
      </c>
      <c r="AK277" t="s">
        <v>66</v>
      </c>
      <c r="AL277" t="s">
        <v>66</v>
      </c>
      <c r="AM277" s="2" t="str">
        <f>HYPERLINK("https://transparencia.cidesi.mx/comprobantes/2021/CQ2100829 /C12H0000006606_RGR170426NVO_PDF.pdf")</f>
        <v>https://transparencia.cidesi.mx/comprobantes/2021/CQ2100829 /C12H0000006606_RGR170426NVO_PDF.pdf</v>
      </c>
      <c r="AN277" t="str">
        <f>HYPERLINK("https://transparencia.cidesi.mx/comprobantes/2021/CQ2100829 /C12H0000006606_RGR170426NVO_PDF.pdf")</f>
        <v>https://transparencia.cidesi.mx/comprobantes/2021/CQ2100829 /C12H0000006606_RGR170426NVO_PDF.pdf</v>
      </c>
      <c r="AO277" t="str">
        <f>HYPERLINK("https://transparencia.cidesi.mx/comprobantes/2021/CQ2100829 /C12H0000006606_RGR170426NVO_XML.xml")</f>
        <v>https://transparencia.cidesi.mx/comprobantes/2021/CQ2100829 /C12H0000006606_RGR170426NVO_XML.xml</v>
      </c>
      <c r="AP277" t="s">
        <v>663</v>
      </c>
      <c r="AQ277" t="s">
        <v>664</v>
      </c>
      <c r="AR277" t="s">
        <v>665</v>
      </c>
      <c r="AS277" t="s">
        <v>666</v>
      </c>
      <c r="AT277" s="1">
        <v>44462</v>
      </c>
      <c r="AU277" t="s">
        <v>73</v>
      </c>
    </row>
    <row r="278" spans="1:47" x14ac:dyDescent="0.3">
      <c r="A278" t="s">
        <v>47</v>
      </c>
      <c r="B278" t="s">
        <v>48</v>
      </c>
      <c r="C278" t="s">
        <v>49</v>
      </c>
      <c r="D278">
        <v>507</v>
      </c>
      <c r="E278" t="s">
        <v>302</v>
      </c>
      <c r="F278" t="s">
        <v>642</v>
      </c>
      <c r="G278" t="s">
        <v>642</v>
      </c>
      <c r="H278" t="s">
        <v>667</v>
      </c>
      <c r="I278" t="s">
        <v>54</v>
      </c>
      <c r="J278" t="s">
        <v>668</v>
      </c>
      <c r="K278" t="s">
        <v>56</v>
      </c>
      <c r="L278">
        <v>0</v>
      </c>
      <c r="M278" t="s">
        <v>73</v>
      </c>
      <c r="N278">
        <v>0</v>
      </c>
      <c r="O278" t="s">
        <v>58</v>
      </c>
      <c r="P278" t="s">
        <v>59</v>
      </c>
      <c r="Q278" t="s">
        <v>645</v>
      </c>
      <c r="R278" t="s">
        <v>668</v>
      </c>
      <c r="S278" s="1">
        <v>44456</v>
      </c>
      <c r="T278" s="1">
        <v>44461</v>
      </c>
      <c r="U278">
        <v>37501</v>
      </c>
      <c r="V278" t="s">
        <v>104</v>
      </c>
      <c r="W278" t="s">
        <v>669</v>
      </c>
      <c r="X278" s="1">
        <v>44463</v>
      </c>
      <c r="Y278" t="s">
        <v>207</v>
      </c>
      <c r="Z278">
        <v>756.65</v>
      </c>
      <c r="AA278">
        <v>16</v>
      </c>
      <c r="AB278">
        <v>59.35</v>
      </c>
      <c r="AC278">
        <v>0</v>
      </c>
      <c r="AD278">
        <v>816</v>
      </c>
      <c r="AE278">
        <v>5460.4</v>
      </c>
      <c r="AF278">
        <v>6000</v>
      </c>
      <c r="AG278" t="s">
        <v>652</v>
      </c>
      <c r="AH278" t="s">
        <v>65</v>
      </c>
      <c r="AI278" t="s">
        <v>65</v>
      </c>
      <c r="AJ278" t="s">
        <v>66</v>
      </c>
      <c r="AK278" t="s">
        <v>66</v>
      </c>
      <c r="AL278" t="s">
        <v>66</v>
      </c>
      <c r="AM278" s="2" t="str">
        <f>HYPERLINK("https://transparencia.cidesi.mx/comprobantes/2021/CQ2100880 /C1H0000006668_RGR170426NV0_PDF.pdf")</f>
        <v>https://transparencia.cidesi.mx/comprobantes/2021/CQ2100880 /C1H0000006668_RGR170426NV0_PDF.pdf</v>
      </c>
      <c r="AN278" t="str">
        <f>HYPERLINK("https://transparencia.cidesi.mx/comprobantes/2021/CQ2100880 /C1H0000006668_RGR170426NV0_PDF.pdf")</f>
        <v>https://transparencia.cidesi.mx/comprobantes/2021/CQ2100880 /C1H0000006668_RGR170426NV0_PDF.pdf</v>
      </c>
      <c r="AO278" t="str">
        <f>HYPERLINK("https://transparencia.cidesi.mx/comprobantes/2021/CQ2100880 /C1H0000006668_RGR170426NV0_XML.xml")</f>
        <v>https://transparencia.cidesi.mx/comprobantes/2021/CQ2100880 /C1H0000006668_RGR170426NV0_XML.xml</v>
      </c>
      <c r="AP278" t="s">
        <v>670</v>
      </c>
      <c r="AQ278" t="s">
        <v>671</v>
      </c>
      <c r="AR278" t="s">
        <v>672</v>
      </c>
      <c r="AS278" t="s">
        <v>673</v>
      </c>
      <c r="AT278" s="1">
        <v>44467</v>
      </c>
      <c r="AU278" t="s">
        <v>73</v>
      </c>
    </row>
    <row r="279" spans="1:47" x14ac:dyDescent="0.3">
      <c r="A279" t="s">
        <v>47</v>
      </c>
      <c r="B279" t="s">
        <v>48</v>
      </c>
      <c r="C279" t="s">
        <v>49</v>
      </c>
      <c r="D279">
        <v>507</v>
      </c>
      <c r="E279" t="s">
        <v>302</v>
      </c>
      <c r="F279" t="s">
        <v>642</v>
      </c>
      <c r="G279" t="s">
        <v>642</v>
      </c>
      <c r="H279" t="s">
        <v>667</v>
      </c>
      <c r="I279" t="s">
        <v>54</v>
      </c>
      <c r="J279" t="s">
        <v>668</v>
      </c>
      <c r="K279" t="s">
        <v>56</v>
      </c>
      <c r="L279">
        <v>0</v>
      </c>
      <c r="M279" t="s">
        <v>73</v>
      </c>
      <c r="N279">
        <v>0</v>
      </c>
      <c r="O279" t="s">
        <v>58</v>
      </c>
      <c r="P279" t="s">
        <v>59</v>
      </c>
      <c r="Q279" t="s">
        <v>645</v>
      </c>
      <c r="R279" t="s">
        <v>668</v>
      </c>
      <c r="S279" s="1">
        <v>44456</v>
      </c>
      <c r="T279" s="1">
        <v>44461</v>
      </c>
      <c r="U279">
        <v>37501</v>
      </c>
      <c r="V279" t="s">
        <v>104</v>
      </c>
      <c r="W279" t="s">
        <v>669</v>
      </c>
      <c r="X279" s="1">
        <v>44463</v>
      </c>
      <c r="Y279" t="s">
        <v>207</v>
      </c>
      <c r="Z279">
        <v>756.65</v>
      </c>
      <c r="AA279">
        <v>16</v>
      </c>
      <c r="AB279">
        <v>59.35</v>
      </c>
      <c r="AC279">
        <v>0</v>
      </c>
      <c r="AD279">
        <v>816</v>
      </c>
      <c r="AE279">
        <v>5460.4</v>
      </c>
      <c r="AF279">
        <v>6000</v>
      </c>
      <c r="AG279" t="s">
        <v>652</v>
      </c>
      <c r="AH279" t="s">
        <v>65</v>
      </c>
      <c r="AI279" t="s">
        <v>65</v>
      </c>
      <c r="AJ279" t="s">
        <v>66</v>
      </c>
      <c r="AK279" t="s">
        <v>66</v>
      </c>
      <c r="AL279" t="s">
        <v>66</v>
      </c>
      <c r="AM279" s="2" t="str">
        <f>HYPERLINK("https://transparencia.cidesi.mx/comprobantes/2021/CQ2100880 /C2H0000006645_RGR170426NV0_PDF.pdf")</f>
        <v>https://transparencia.cidesi.mx/comprobantes/2021/CQ2100880 /C2H0000006645_RGR170426NV0_PDF.pdf</v>
      </c>
      <c r="AN279" t="str">
        <f>HYPERLINK("https://transparencia.cidesi.mx/comprobantes/2021/CQ2100880 /C2H0000006645_RGR170426NV0_PDF.pdf")</f>
        <v>https://transparencia.cidesi.mx/comprobantes/2021/CQ2100880 /C2H0000006645_RGR170426NV0_PDF.pdf</v>
      </c>
      <c r="AO279" t="str">
        <f>HYPERLINK("https://transparencia.cidesi.mx/comprobantes/2021/CQ2100880 /C2H0000006645_RGR170426NV0_XML.xml")</f>
        <v>https://transparencia.cidesi.mx/comprobantes/2021/CQ2100880 /C2H0000006645_RGR170426NV0_XML.xml</v>
      </c>
      <c r="AP279" t="s">
        <v>670</v>
      </c>
      <c r="AQ279" t="s">
        <v>671</v>
      </c>
      <c r="AR279" t="s">
        <v>672</v>
      </c>
      <c r="AS279" t="s">
        <v>673</v>
      </c>
      <c r="AT279" s="1">
        <v>44467</v>
      </c>
      <c r="AU279" t="s">
        <v>73</v>
      </c>
    </row>
    <row r="280" spans="1:47" x14ac:dyDescent="0.3">
      <c r="A280" t="s">
        <v>47</v>
      </c>
      <c r="B280" t="s">
        <v>48</v>
      </c>
      <c r="C280" t="s">
        <v>49</v>
      </c>
      <c r="D280">
        <v>507</v>
      </c>
      <c r="E280" t="s">
        <v>302</v>
      </c>
      <c r="F280" t="s">
        <v>642</v>
      </c>
      <c r="G280" t="s">
        <v>642</v>
      </c>
      <c r="H280" t="s">
        <v>667</v>
      </c>
      <c r="I280" t="s">
        <v>54</v>
      </c>
      <c r="J280" t="s">
        <v>668</v>
      </c>
      <c r="K280" t="s">
        <v>56</v>
      </c>
      <c r="L280">
        <v>0</v>
      </c>
      <c r="M280" t="s">
        <v>73</v>
      </c>
      <c r="N280">
        <v>0</v>
      </c>
      <c r="O280" t="s">
        <v>58</v>
      </c>
      <c r="P280" t="s">
        <v>59</v>
      </c>
      <c r="Q280" t="s">
        <v>645</v>
      </c>
      <c r="R280" t="s">
        <v>668</v>
      </c>
      <c r="S280" s="1">
        <v>44456</v>
      </c>
      <c r="T280" s="1">
        <v>44461</v>
      </c>
      <c r="U280">
        <v>37501</v>
      </c>
      <c r="V280" t="s">
        <v>104</v>
      </c>
      <c r="W280" t="s">
        <v>669</v>
      </c>
      <c r="X280" s="1">
        <v>44463</v>
      </c>
      <c r="Y280" t="s">
        <v>207</v>
      </c>
      <c r="Z280">
        <v>1513.31</v>
      </c>
      <c r="AA280">
        <v>16</v>
      </c>
      <c r="AB280">
        <v>118.69</v>
      </c>
      <c r="AC280">
        <v>0</v>
      </c>
      <c r="AD280">
        <v>1632</v>
      </c>
      <c r="AE280">
        <v>5460.4</v>
      </c>
      <c r="AF280">
        <v>6000</v>
      </c>
      <c r="AG280" t="s">
        <v>652</v>
      </c>
      <c r="AH280" t="s">
        <v>65</v>
      </c>
      <c r="AI280" t="s">
        <v>65</v>
      </c>
      <c r="AJ280" t="s">
        <v>66</v>
      </c>
      <c r="AK280" t="s">
        <v>66</v>
      </c>
      <c r="AL280" t="s">
        <v>66</v>
      </c>
      <c r="AM280" s="2" t="str">
        <f>HYPERLINK("https://transparencia.cidesi.mx/comprobantes/2021/CQ2100880 /C3H0000006634_RGR170426NV0_PDF.pdf")</f>
        <v>https://transparencia.cidesi.mx/comprobantes/2021/CQ2100880 /C3H0000006634_RGR170426NV0_PDF.pdf</v>
      </c>
      <c r="AN280" t="str">
        <f>HYPERLINK("https://transparencia.cidesi.mx/comprobantes/2021/CQ2100880 /C3H0000006634_RGR170426NV0_PDF.pdf")</f>
        <v>https://transparencia.cidesi.mx/comprobantes/2021/CQ2100880 /C3H0000006634_RGR170426NV0_PDF.pdf</v>
      </c>
      <c r="AO280" t="str">
        <f>HYPERLINK("https://transparencia.cidesi.mx/comprobantes/2021/CQ2100880 /C3H0000006634_RGR170426NV0_XML.xml")</f>
        <v>https://transparencia.cidesi.mx/comprobantes/2021/CQ2100880 /C3H0000006634_RGR170426NV0_XML.xml</v>
      </c>
      <c r="AP280" t="s">
        <v>670</v>
      </c>
      <c r="AQ280" t="s">
        <v>671</v>
      </c>
      <c r="AR280" t="s">
        <v>672</v>
      </c>
      <c r="AS280" t="s">
        <v>673</v>
      </c>
      <c r="AT280" s="1">
        <v>44467</v>
      </c>
      <c r="AU280" t="s">
        <v>73</v>
      </c>
    </row>
    <row r="281" spans="1:47" x14ac:dyDescent="0.3">
      <c r="A281" t="s">
        <v>47</v>
      </c>
      <c r="B281" t="s">
        <v>48</v>
      </c>
      <c r="C281" t="s">
        <v>49</v>
      </c>
      <c r="D281">
        <v>507</v>
      </c>
      <c r="E281" t="s">
        <v>302</v>
      </c>
      <c r="F281" t="s">
        <v>642</v>
      </c>
      <c r="G281" t="s">
        <v>642</v>
      </c>
      <c r="H281" t="s">
        <v>667</v>
      </c>
      <c r="I281" t="s">
        <v>54</v>
      </c>
      <c r="J281" t="s">
        <v>668</v>
      </c>
      <c r="K281" t="s">
        <v>56</v>
      </c>
      <c r="L281">
        <v>0</v>
      </c>
      <c r="M281" t="s">
        <v>73</v>
      </c>
      <c r="N281">
        <v>0</v>
      </c>
      <c r="O281" t="s">
        <v>58</v>
      </c>
      <c r="P281" t="s">
        <v>59</v>
      </c>
      <c r="Q281" t="s">
        <v>645</v>
      </c>
      <c r="R281" t="s">
        <v>668</v>
      </c>
      <c r="S281" s="1">
        <v>44456</v>
      </c>
      <c r="T281" s="1">
        <v>44461</v>
      </c>
      <c r="U281">
        <v>37501</v>
      </c>
      <c r="V281" t="s">
        <v>61</v>
      </c>
      <c r="W281" t="s">
        <v>669</v>
      </c>
      <c r="X281" s="1">
        <v>44463</v>
      </c>
      <c r="Y281" t="s">
        <v>207</v>
      </c>
      <c r="Z281">
        <v>756.65</v>
      </c>
      <c r="AA281">
        <v>16</v>
      </c>
      <c r="AB281">
        <v>59.35</v>
      </c>
      <c r="AC281">
        <v>0</v>
      </c>
      <c r="AD281">
        <v>816</v>
      </c>
      <c r="AE281">
        <v>5460.4</v>
      </c>
      <c r="AF281">
        <v>6000</v>
      </c>
      <c r="AG281" t="s">
        <v>647</v>
      </c>
      <c r="AH281" t="s">
        <v>65</v>
      </c>
      <c r="AI281" t="s">
        <v>65</v>
      </c>
      <c r="AJ281" t="s">
        <v>66</v>
      </c>
      <c r="AK281" t="s">
        <v>66</v>
      </c>
      <c r="AL281" t="s">
        <v>66</v>
      </c>
      <c r="AM281" s="2" t="str">
        <f>HYPERLINK("https://transparencia.cidesi.mx/comprobantes/2021/CQ2100880 /C4H0000006605_RGR170426NV0_XML.pdf")</f>
        <v>https://transparencia.cidesi.mx/comprobantes/2021/CQ2100880 /C4H0000006605_RGR170426NV0_XML.pdf</v>
      </c>
      <c r="AN281" t="str">
        <f>HYPERLINK("https://transparencia.cidesi.mx/comprobantes/2021/CQ2100880 /C4H0000006605_RGR170426NV0_XML.pdf")</f>
        <v>https://transparencia.cidesi.mx/comprobantes/2021/CQ2100880 /C4H0000006605_RGR170426NV0_XML.pdf</v>
      </c>
      <c r="AO281" t="str">
        <f>HYPERLINK("https://transparencia.cidesi.mx/comprobantes/2021/CQ2100880 /C4H0000006605_RGR170426NV0_PDF.xml")</f>
        <v>https://transparencia.cidesi.mx/comprobantes/2021/CQ2100880 /C4H0000006605_RGR170426NV0_PDF.xml</v>
      </c>
      <c r="AP281" t="s">
        <v>670</v>
      </c>
      <c r="AQ281" t="s">
        <v>671</v>
      </c>
      <c r="AR281" t="s">
        <v>672</v>
      </c>
      <c r="AS281" t="s">
        <v>673</v>
      </c>
      <c r="AT281" s="1">
        <v>44467</v>
      </c>
      <c r="AU281" t="s">
        <v>73</v>
      </c>
    </row>
    <row r="282" spans="1:47" x14ac:dyDescent="0.3">
      <c r="A282" t="s">
        <v>47</v>
      </c>
      <c r="B282" t="s">
        <v>48</v>
      </c>
      <c r="C282" t="s">
        <v>49</v>
      </c>
      <c r="D282">
        <v>507</v>
      </c>
      <c r="E282" t="s">
        <v>302</v>
      </c>
      <c r="F282" t="s">
        <v>642</v>
      </c>
      <c r="G282" t="s">
        <v>642</v>
      </c>
      <c r="H282" t="s">
        <v>667</v>
      </c>
      <c r="I282" t="s">
        <v>54</v>
      </c>
      <c r="J282" t="s">
        <v>668</v>
      </c>
      <c r="K282" t="s">
        <v>56</v>
      </c>
      <c r="L282">
        <v>0</v>
      </c>
      <c r="M282" t="s">
        <v>73</v>
      </c>
      <c r="N282">
        <v>0</v>
      </c>
      <c r="O282" t="s">
        <v>58</v>
      </c>
      <c r="P282" t="s">
        <v>59</v>
      </c>
      <c r="Q282" t="s">
        <v>645</v>
      </c>
      <c r="R282" t="s">
        <v>668</v>
      </c>
      <c r="S282" s="1">
        <v>44456</v>
      </c>
      <c r="T282" s="1">
        <v>44461</v>
      </c>
      <c r="U282">
        <v>37501</v>
      </c>
      <c r="V282" t="s">
        <v>61</v>
      </c>
      <c r="W282" t="s">
        <v>669</v>
      </c>
      <c r="X282" s="1">
        <v>44463</v>
      </c>
      <c r="Y282" t="s">
        <v>207</v>
      </c>
      <c r="Z282">
        <v>171.3</v>
      </c>
      <c r="AA282">
        <v>16</v>
      </c>
      <c r="AB282">
        <v>13.7</v>
      </c>
      <c r="AC282">
        <v>0</v>
      </c>
      <c r="AD282">
        <v>185</v>
      </c>
      <c r="AE282">
        <v>5460.4</v>
      </c>
      <c r="AF282">
        <v>6000</v>
      </c>
      <c r="AG282" t="s">
        <v>647</v>
      </c>
      <c r="AH282" t="s">
        <v>65</v>
      </c>
      <c r="AI282" t="s">
        <v>65</v>
      </c>
      <c r="AJ282" t="s">
        <v>66</v>
      </c>
      <c r="AK282" t="s">
        <v>66</v>
      </c>
      <c r="AL282" t="s">
        <v>66</v>
      </c>
      <c r="AM282" s="2" t="str">
        <f>HYPERLINK("https://transparencia.cidesi.mx/comprobantes/2021/CQ2100880 /C5111688_LPR090122AUP_PDF.pdf")</f>
        <v>https://transparencia.cidesi.mx/comprobantes/2021/CQ2100880 /C5111688_LPR090122AUP_PDF.pdf</v>
      </c>
      <c r="AN282" t="str">
        <f>HYPERLINK("https://transparencia.cidesi.mx/comprobantes/2021/CQ2100880 /C5111688_LPR090122AUP_PDF.pdf")</f>
        <v>https://transparencia.cidesi.mx/comprobantes/2021/CQ2100880 /C5111688_LPR090122AUP_PDF.pdf</v>
      </c>
      <c r="AO282" t="str">
        <f>HYPERLINK("https://transparencia.cidesi.mx/comprobantes/2021/CQ2100880 /C5111688_LPR090122AUP_XML.xml")</f>
        <v>https://transparencia.cidesi.mx/comprobantes/2021/CQ2100880 /C5111688_LPR090122AUP_XML.xml</v>
      </c>
      <c r="AP282" t="s">
        <v>670</v>
      </c>
      <c r="AQ282" t="s">
        <v>671</v>
      </c>
      <c r="AR282" t="s">
        <v>672</v>
      </c>
      <c r="AS282" t="s">
        <v>673</v>
      </c>
      <c r="AT282" s="1">
        <v>44467</v>
      </c>
      <c r="AU282" t="s">
        <v>73</v>
      </c>
    </row>
    <row r="283" spans="1:47" x14ac:dyDescent="0.3">
      <c r="A283" t="s">
        <v>47</v>
      </c>
      <c r="B283" t="s">
        <v>48</v>
      </c>
      <c r="C283" t="s">
        <v>49</v>
      </c>
      <c r="D283">
        <v>507</v>
      </c>
      <c r="E283" t="s">
        <v>302</v>
      </c>
      <c r="F283" t="s">
        <v>642</v>
      </c>
      <c r="G283" t="s">
        <v>642</v>
      </c>
      <c r="H283" t="s">
        <v>667</v>
      </c>
      <c r="I283" t="s">
        <v>54</v>
      </c>
      <c r="J283" t="s">
        <v>668</v>
      </c>
      <c r="K283" t="s">
        <v>56</v>
      </c>
      <c r="L283">
        <v>0</v>
      </c>
      <c r="M283" t="s">
        <v>73</v>
      </c>
      <c r="N283">
        <v>0</v>
      </c>
      <c r="O283" t="s">
        <v>58</v>
      </c>
      <c r="P283" t="s">
        <v>59</v>
      </c>
      <c r="Q283" t="s">
        <v>645</v>
      </c>
      <c r="R283" t="s">
        <v>668</v>
      </c>
      <c r="S283" s="1">
        <v>44456</v>
      </c>
      <c r="T283" s="1">
        <v>44461</v>
      </c>
      <c r="U283">
        <v>37501</v>
      </c>
      <c r="V283" t="s">
        <v>61</v>
      </c>
      <c r="W283" t="s">
        <v>669</v>
      </c>
      <c r="X283" s="1">
        <v>44463</v>
      </c>
      <c r="Y283" t="s">
        <v>207</v>
      </c>
      <c r="Z283">
        <v>245.37</v>
      </c>
      <c r="AA283">
        <v>16</v>
      </c>
      <c r="AB283">
        <v>19.63</v>
      </c>
      <c r="AC283">
        <v>15</v>
      </c>
      <c r="AD283">
        <v>280</v>
      </c>
      <c r="AE283">
        <v>5460.4</v>
      </c>
      <c r="AF283">
        <v>6000</v>
      </c>
      <c r="AG283" t="s">
        <v>647</v>
      </c>
      <c r="AH283" t="s">
        <v>65</v>
      </c>
      <c r="AI283" t="s">
        <v>65</v>
      </c>
      <c r="AJ283" t="s">
        <v>66</v>
      </c>
      <c r="AK283" t="s">
        <v>66</v>
      </c>
      <c r="AL283" t="s">
        <v>66</v>
      </c>
      <c r="AM283" s="2" t="str">
        <f>HYPERLINK("https://transparencia.cidesi.mx/comprobantes/2021/CQ2100880 /C6111670_LPR090122AU9_PDF.pdf")</f>
        <v>https://transparencia.cidesi.mx/comprobantes/2021/CQ2100880 /C6111670_LPR090122AU9_PDF.pdf</v>
      </c>
      <c r="AN283" t="str">
        <f>HYPERLINK("https://transparencia.cidesi.mx/comprobantes/2021/CQ2100880 /C6111670_LPR090122AU9_PDF.pdf")</f>
        <v>https://transparencia.cidesi.mx/comprobantes/2021/CQ2100880 /C6111670_LPR090122AU9_PDF.pdf</v>
      </c>
      <c r="AO283" t="str">
        <f>HYPERLINK("https://transparencia.cidesi.mx/comprobantes/2021/CQ2100880 /C6111670_LPR090122AUP_XML.xml")</f>
        <v>https://transparencia.cidesi.mx/comprobantes/2021/CQ2100880 /C6111670_LPR090122AUP_XML.xml</v>
      </c>
      <c r="AP283" t="s">
        <v>670</v>
      </c>
      <c r="AQ283" t="s">
        <v>671</v>
      </c>
      <c r="AR283" t="s">
        <v>672</v>
      </c>
      <c r="AS283" t="s">
        <v>673</v>
      </c>
      <c r="AT283" s="1">
        <v>44467</v>
      </c>
      <c r="AU283" t="s">
        <v>73</v>
      </c>
    </row>
    <row r="284" spans="1:47" x14ac:dyDescent="0.3">
      <c r="A284" t="s">
        <v>47</v>
      </c>
      <c r="B284" t="s">
        <v>48</v>
      </c>
      <c r="C284" t="s">
        <v>49</v>
      </c>
      <c r="D284">
        <v>507</v>
      </c>
      <c r="E284" t="s">
        <v>302</v>
      </c>
      <c r="F284" t="s">
        <v>642</v>
      </c>
      <c r="G284" t="s">
        <v>642</v>
      </c>
      <c r="H284" t="s">
        <v>667</v>
      </c>
      <c r="I284" t="s">
        <v>54</v>
      </c>
      <c r="J284" t="s">
        <v>668</v>
      </c>
      <c r="K284" t="s">
        <v>56</v>
      </c>
      <c r="L284">
        <v>0</v>
      </c>
      <c r="M284" t="s">
        <v>73</v>
      </c>
      <c r="N284">
        <v>0</v>
      </c>
      <c r="O284" t="s">
        <v>58</v>
      </c>
      <c r="P284" t="s">
        <v>59</v>
      </c>
      <c r="Q284" t="s">
        <v>645</v>
      </c>
      <c r="R284" t="s">
        <v>668</v>
      </c>
      <c r="S284" s="1">
        <v>44456</v>
      </c>
      <c r="T284" s="1">
        <v>44461</v>
      </c>
      <c r="U284">
        <v>37501</v>
      </c>
      <c r="V284" t="s">
        <v>61</v>
      </c>
      <c r="W284" t="s">
        <v>669</v>
      </c>
      <c r="X284" s="1">
        <v>44463</v>
      </c>
      <c r="Y284" t="s">
        <v>207</v>
      </c>
      <c r="Z284">
        <v>272.22000000000003</v>
      </c>
      <c r="AA284">
        <v>16</v>
      </c>
      <c r="AB284">
        <v>21.78</v>
      </c>
      <c r="AC284">
        <v>15</v>
      </c>
      <c r="AD284">
        <v>309</v>
      </c>
      <c r="AE284">
        <v>5460.4</v>
      </c>
      <c r="AF284">
        <v>6000</v>
      </c>
      <c r="AG284" t="s">
        <v>647</v>
      </c>
      <c r="AH284" t="s">
        <v>65</v>
      </c>
      <c r="AI284" t="s">
        <v>65</v>
      </c>
      <c r="AJ284" t="s">
        <v>66</v>
      </c>
      <c r="AK284" t="s">
        <v>66</v>
      </c>
      <c r="AL284" t="s">
        <v>66</v>
      </c>
      <c r="AM284" s="2" t="str">
        <f>HYPERLINK("https://transparencia.cidesi.mx/comprobantes/2021/CQ2100880 /C7111655_LPR090122AUP_PDF.pdf")</f>
        <v>https://transparencia.cidesi.mx/comprobantes/2021/CQ2100880 /C7111655_LPR090122AUP_PDF.pdf</v>
      </c>
      <c r="AN284" t="str">
        <f>HYPERLINK("https://transparencia.cidesi.mx/comprobantes/2021/CQ2100880 /C7111655_LPR090122AUP_PDF.pdf")</f>
        <v>https://transparencia.cidesi.mx/comprobantes/2021/CQ2100880 /C7111655_LPR090122AUP_PDF.pdf</v>
      </c>
      <c r="AO284" t="str">
        <f>HYPERLINK("https://transparencia.cidesi.mx/comprobantes/2021/CQ2100880 /C7111655_LPR090122AU9_XML.xml")</f>
        <v>https://transparencia.cidesi.mx/comprobantes/2021/CQ2100880 /C7111655_LPR090122AU9_XML.xml</v>
      </c>
      <c r="AP284" t="s">
        <v>670</v>
      </c>
      <c r="AQ284" t="s">
        <v>671</v>
      </c>
      <c r="AR284" t="s">
        <v>672</v>
      </c>
      <c r="AS284" t="s">
        <v>673</v>
      </c>
      <c r="AT284" s="1">
        <v>44467</v>
      </c>
      <c r="AU284" t="s">
        <v>73</v>
      </c>
    </row>
    <row r="285" spans="1:47" x14ac:dyDescent="0.3">
      <c r="A285" t="s">
        <v>47</v>
      </c>
      <c r="B285" t="s">
        <v>48</v>
      </c>
      <c r="C285" t="s">
        <v>49</v>
      </c>
      <c r="D285">
        <v>507</v>
      </c>
      <c r="E285" t="s">
        <v>302</v>
      </c>
      <c r="F285" t="s">
        <v>642</v>
      </c>
      <c r="G285" t="s">
        <v>642</v>
      </c>
      <c r="H285" t="s">
        <v>667</v>
      </c>
      <c r="I285" t="s">
        <v>54</v>
      </c>
      <c r="J285" t="s">
        <v>668</v>
      </c>
      <c r="K285" t="s">
        <v>56</v>
      </c>
      <c r="L285">
        <v>0</v>
      </c>
      <c r="M285" t="s">
        <v>73</v>
      </c>
      <c r="N285">
        <v>0</v>
      </c>
      <c r="O285" t="s">
        <v>58</v>
      </c>
      <c r="P285" t="s">
        <v>59</v>
      </c>
      <c r="Q285" t="s">
        <v>645</v>
      </c>
      <c r="R285" t="s">
        <v>668</v>
      </c>
      <c r="S285" s="1">
        <v>44456</v>
      </c>
      <c r="T285" s="1">
        <v>44461</v>
      </c>
      <c r="U285">
        <v>37501</v>
      </c>
      <c r="V285" t="s">
        <v>61</v>
      </c>
      <c r="W285" t="s">
        <v>669</v>
      </c>
      <c r="X285" s="1">
        <v>44463</v>
      </c>
      <c r="Y285" t="s">
        <v>207</v>
      </c>
      <c r="Z285">
        <v>92.5</v>
      </c>
      <c r="AA285">
        <v>0</v>
      </c>
      <c r="AB285">
        <v>0</v>
      </c>
      <c r="AC285">
        <v>0</v>
      </c>
      <c r="AD285">
        <v>92.5</v>
      </c>
      <c r="AE285">
        <v>5460.4</v>
      </c>
      <c r="AF285">
        <v>6000</v>
      </c>
      <c r="AG285" t="s">
        <v>647</v>
      </c>
      <c r="AH285" t="s">
        <v>65</v>
      </c>
      <c r="AI285" t="s">
        <v>65</v>
      </c>
      <c r="AJ285" t="s">
        <v>66</v>
      </c>
      <c r="AK285" t="s">
        <v>66</v>
      </c>
      <c r="AL285" t="s">
        <v>66</v>
      </c>
      <c r="AM285" s="2" t="str">
        <f>HYPERLINK("https://transparencia.cidesi.mx/comprobantes/2021/CQ2100880 /C8345597761_CCO8605231N4_PDF.pdf")</f>
        <v>https://transparencia.cidesi.mx/comprobantes/2021/CQ2100880 /C8345597761_CCO8605231N4_PDF.pdf</v>
      </c>
      <c r="AN285" t="str">
        <f>HYPERLINK("https://transparencia.cidesi.mx/comprobantes/2021/CQ2100880 /C8345597761_CCO8605231N4_PDF.pdf")</f>
        <v>https://transparencia.cidesi.mx/comprobantes/2021/CQ2100880 /C8345597761_CCO8605231N4_PDF.pdf</v>
      </c>
      <c r="AO285" t="str">
        <f>HYPERLINK("https://transparencia.cidesi.mx/comprobantes/2021/CQ2100880 /C8345597761_CCO8605231N4_XML.xml")</f>
        <v>https://transparencia.cidesi.mx/comprobantes/2021/CQ2100880 /C8345597761_CCO8605231N4_XML.xml</v>
      </c>
      <c r="AP285" t="s">
        <v>670</v>
      </c>
      <c r="AQ285" t="s">
        <v>671</v>
      </c>
      <c r="AR285" t="s">
        <v>672</v>
      </c>
      <c r="AS285" t="s">
        <v>673</v>
      </c>
      <c r="AT285" s="1">
        <v>44467</v>
      </c>
      <c r="AU285" t="s">
        <v>73</v>
      </c>
    </row>
    <row r="286" spans="1:47" x14ac:dyDescent="0.3">
      <c r="A286" t="s">
        <v>47</v>
      </c>
      <c r="B286" t="s">
        <v>48</v>
      </c>
      <c r="C286" t="s">
        <v>49</v>
      </c>
      <c r="D286">
        <v>507</v>
      </c>
      <c r="E286" t="s">
        <v>302</v>
      </c>
      <c r="F286" t="s">
        <v>642</v>
      </c>
      <c r="G286" t="s">
        <v>642</v>
      </c>
      <c r="H286" t="s">
        <v>667</v>
      </c>
      <c r="I286" t="s">
        <v>54</v>
      </c>
      <c r="J286" t="s">
        <v>668</v>
      </c>
      <c r="K286" t="s">
        <v>56</v>
      </c>
      <c r="L286">
        <v>0</v>
      </c>
      <c r="M286" t="s">
        <v>73</v>
      </c>
      <c r="N286">
        <v>0</v>
      </c>
      <c r="O286" t="s">
        <v>58</v>
      </c>
      <c r="P286" t="s">
        <v>59</v>
      </c>
      <c r="Q286" t="s">
        <v>645</v>
      </c>
      <c r="R286" t="s">
        <v>668</v>
      </c>
      <c r="S286" s="1">
        <v>44456</v>
      </c>
      <c r="T286" s="1">
        <v>44461</v>
      </c>
      <c r="U286">
        <v>37501</v>
      </c>
      <c r="V286" t="s">
        <v>61</v>
      </c>
      <c r="W286" t="s">
        <v>669</v>
      </c>
      <c r="X286" s="1">
        <v>44463</v>
      </c>
      <c r="Y286" t="s">
        <v>207</v>
      </c>
      <c r="Z286">
        <v>83.52</v>
      </c>
      <c r="AA286">
        <v>16</v>
      </c>
      <c r="AB286">
        <v>3.48</v>
      </c>
      <c r="AC286">
        <v>0</v>
      </c>
      <c r="AD286">
        <v>87</v>
      </c>
      <c r="AE286">
        <v>5460.4</v>
      </c>
      <c r="AF286">
        <v>6000</v>
      </c>
      <c r="AG286" t="s">
        <v>647</v>
      </c>
      <c r="AH286" t="s">
        <v>65</v>
      </c>
      <c r="AI286" t="s">
        <v>65</v>
      </c>
      <c r="AJ286" t="s">
        <v>66</v>
      </c>
      <c r="AK286" t="s">
        <v>66</v>
      </c>
      <c r="AL286" t="s">
        <v>66</v>
      </c>
      <c r="AM286" s="2" t="str">
        <f>HYPERLINK("https://transparencia.cidesi.mx/comprobantes/2021/CQ2100880 /C9345480915_CCO8605231N4_PDF.pdf")</f>
        <v>https://transparencia.cidesi.mx/comprobantes/2021/CQ2100880 /C9345480915_CCO8605231N4_PDF.pdf</v>
      </c>
      <c r="AN286" t="str">
        <f>HYPERLINK("https://transparencia.cidesi.mx/comprobantes/2021/CQ2100880 /C9345480915_CCO8605231N4_PDF.pdf")</f>
        <v>https://transparencia.cidesi.mx/comprobantes/2021/CQ2100880 /C9345480915_CCO8605231N4_PDF.pdf</v>
      </c>
      <c r="AO286" t="str">
        <f>HYPERLINK("https://transparencia.cidesi.mx/comprobantes/2021/CQ2100880 /C9345480915_CCO8605231N4_XML.xml")</f>
        <v>https://transparencia.cidesi.mx/comprobantes/2021/CQ2100880 /C9345480915_CCO8605231N4_XML.xml</v>
      </c>
      <c r="AP286" t="s">
        <v>670</v>
      </c>
      <c r="AQ286" t="s">
        <v>671</v>
      </c>
      <c r="AR286" t="s">
        <v>672</v>
      </c>
      <c r="AS286" t="s">
        <v>673</v>
      </c>
      <c r="AT286" s="1">
        <v>44467</v>
      </c>
      <c r="AU286" t="s">
        <v>73</v>
      </c>
    </row>
    <row r="287" spans="1:47" x14ac:dyDescent="0.3">
      <c r="A287" t="s">
        <v>47</v>
      </c>
      <c r="B287" t="s">
        <v>48</v>
      </c>
      <c r="C287" t="s">
        <v>49</v>
      </c>
      <c r="D287">
        <v>507</v>
      </c>
      <c r="E287" t="s">
        <v>302</v>
      </c>
      <c r="F287" t="s">
        <v>642</v>
      </c>
      <c r="G287" t="s">
        <v>642</v>
      </c>
      <c r="H287" t="s">
        <v>667</v>
      </c>
      <c r="I287" t="s">
        <v>54</v>
      </c>
      <c r="J287" t="s">
        <v>668</v>
      </c>
      <c r="K287" t="s">
        <v>56</v>
      </c>
      <c r="L287">
        <v>0</v>
      </c>
      <c r="M287" t="s">
        <v>73</v>
      </c>
      <c r="N287">
        <v>0</v>
      </c>
      <c r="O287" t="s">
        <v>58</v>
      </c>
      <c r="P287" t="s">
        <v>59</v>
      </c>
      <c r="Q287" t="s">
        <v>645</v>
      </c>
      <c r="R287" t="s">
        <v>668</v>
      </c>
      <c r="S287" s="1">
        <v>44456</v>
      </c>
      <c r="T287" s="1">
        <v>44461</v>
      </c>
      <c r="U287">
        <v>37501</v>
      </c>
      <c r="V287" t="s">
        <v>61</v>
      </c>
      <c r="W287" t="s">
        <v>669</v>
      </c>
      <c r="X287" s="1">
        <v>44463</v>
      </c>
      <c r="Y287" t="s">
        <v>207</v>
      </c>
      <c r="Z287">
        <v>61.94</v>
      </c>
      <c r="AA287">
        <v>16</v>
      </c>
      <c r="AB287">
        <v>4.96</v>
      </c>
      <c r="AC287">
        <v>0</v>
      </c>
      <c r="AD287">
        <v>66.900000000000006</v>
      </c>
      <c r="AE287">
        <v>5460.4</v>
      </c>
      <c r="AF287">
        <v>6000</v>
      </c>
      <c r="AG287" t="s">
        <v>647</v>
      </c>
      <c r="AH287" t="s">
        <v>65</v>
      </c>
      <c r="AI287" t="s">
        <v>65</v>
      </c>
      <c r="AJ287" t="s">
        <v>66</v>
      </c>
      <c r="AK287" t="s">
        <v>66</v>
      </c>
      <c r="AL287" t="s">
        <v>66</v>
      </c>
      <c r="AM287" s="2" t="str">
        <f>HYPERLINK("https://transparencia.cidesi.mx/comprobantes/2021/CQ2100880 /C10345478081_CCO8605231N4_PDF.pdf")</f>
        <v>https://transparencia.cidesi.mx/comprobantes/2021/CQ2100880 /C10345478081_CCO8605231N4_PDF.pdf</v>
      </c>
      <c r="AN287" t="str">
        <f>HYPERLINK("https://transparencia.cidesi.mx/comprobantes/2021/CQ2100880 /C10345478081_CCO8605231N4_PDF.pdf")</f>
        <v>https://transparencia.cidesi.mx/comprobantes/2021/CQ2100880 /C10345478081_CCO8605231N4_PDF.pdf</v>
      </c>
      <c r="AO287" t="str">
        <f>HYPERLINK("https://transparencia.cidesi.mx/comprobantes/2021/CQ2100880 /C10345478081_CCO8605231N4_XML.xml")</f>
        <v>https://transparencia.cidesi.mx/comprobantes/2021/CQ2100880 /C10345478081_CCO8605231N4_XML.xml</v>
      </c>
      <c r="AP287" t="s">
        <v>670</v>
      </c>
      <c r="AQ287" t="s">
        <v>671</v>
      </c>
      <c r="AR287" t="s">
        <v>672</v>
      </c>
      <c r="AS287" t="s">
        <v>673</v>
      </c>
      <c r="AT287" s="1">
        <v>44467</v>
      </c>
      <c r="AU287" t="s">
        <v>73</v>
      </c>
    </row>
    <row r="288" spans="1:47" x14ac:dyDescent="0.3">
      <c r="A288" t="s">
        <v>47</v>
      </c>
      <c r="B288" t="s">
        <v>48</v>
      </c>
      <c r="C288" t="s">
        <v>49</v>
      </c>
      <c r="D288">
        <v>507</v>
      </c>
      <c r="E288" t="s">
        <v>302</v>
      </c>
      <c r="F288" t="s">
        <v>642</v>
      </c>
      <c r="G288" t="s">
        <v>642</v>
      </c>
      <c r="H288" t="s">
        <v>667</v>
      </c>
      <c r="I288" t="s">
        <v>54</v>
      </c>
      <c r="J288" t="s">
        <v>668</v>
      </c>
      <c r="K288" t="s">
        <v>56</v>
      </c>
      <c r="L288">
        <v>0</v>
      </c>
      <c r="M288" t="s">
        <v>73</v>
      </c>
      <c r="N288">
        <v>0</v>
      </c>
      <c r="O288" t="s">
        <v>58</v>
      </c>
      <c r="P288" t="s">
        <v>59</v>
      </c>
      <c r="Q288" t="s">
        <v>645</v>
      </c>
      <c r="R288" t="s">
        <v>668</v>
      </c>
      <c r="S288" s="1">
        <v>44456</v>
      </c>
      <c r="T288" s="1">
        <v>44461</v>
      </c>
      <c r="U288">
        <v>37501</v>
      </c>
      <c r="V288" t="s">
        <v>61</v>
      </c>
      <c r="W288" t="s">
        <v>669</v>
      </c>
      <c r="X288" s="1">
        <v>44463</v>
      </c>
      <c r="Y288" t="s">
        <v>207</v>
      </c>
      <c r="Z288">
        <v>86.14</v>
      </c>
      <c r="AA288">
        <v>16</v>
      </c>
      <c r="AB288">
        <v>3.86</v>
      </c>
      <c r="AC288">
        <v>0</v>
      </c>
      <c r="AD288">
        <v>90</v>
      </c>
      <c r="AE288">
        <v>5460.4</v>
      </c>
      <c r="AF288">
        <v>6000</v>
      </c>
      <c r="AG288" t="s">
        <v>647</v>
      </c>
      <c r="AH288" t="s">
        <v>65</v>
      </c>
      <c r="AI288" t="s">
        <v>65</v>
      </c>
      <c r="AJ288" t="s">
        <v>66</v>
      </c>
      <c r="AK288" t="s">
        <v>66</v>
      </c>
      <c r="AL288" t="s">
        <v>66</v>
      </c>
      <c r="AM288" s="2" t="str">
        <f>HYPERLINK("https://transparencia.cidesi.mx/comprobantes/2021/CQ2100880 /C11345337549_CCO8605231N4_PD.pdf")</f>
        <v>https://transparencia.cidesi.mx/comprobantes/2021/CQ2100880 /C11345337549_CCO8605231N4_PD.pdf</v>
      </c>
      <c r="AN288" t="str">
        <f>HYPERLINK("https://transparencia.cidesi.mx/comprobantes/2021/CQ2100880 /C11345337549_CCO8605231N4_PD.pdf")</f>
        <v>https://transparencia.cidesi.mx/comprobantes/2021/CQ2100880 /C11345337549_CCO8605231N4_PD.pdf</v>
      </c>
      <c r="AO288" t="str">
        <f>HYPERLINK("https://transparencia.cidesi.mx/comprobantes/2021/CQ2100880 /C11345337549_CCO8605231N4_XML.xml")</f>
        <v>https://transparencia.cidesi.mx/comprobantes/2021/CQ2100880 /C11345337549_CCO8605231N4_XML.xml</v>
      </c>
      <c r="AP288" t="s">
        <v>670</v>
      </c>
      <c r="AQ288" t="s">
        <v>671</v>
      </c>
      <c r="AR288" t="s">
        <v>672</v>
      </c>
      <c r="AS288" t="s">
        <v>673</v>
      </c>
      <c r="AT288" s="1">
        <v>44467</v>
      </c>
      <c r="AU288" t="s">
        <v>73</v>
      </c>
    </row>
    <row r="289" spans="1:47" x14ac:dyDescent="0.3">
      <c r="A289" t="s">
        <v>47</v>
      </c>
      <c r="B289" t="s">
        <v>48</v>
      </c>
      <c r="C289" t="s">
        <v>49</v>
      </c>
      <c r="D289">
        <v>507</v>
      </c>
      <c r="E289" t="s">
        <v>302</v>
      </c>
      <c r="F289" t="s">
        <v>642</v>
      </c>
      <c r="G289" t="s">
        <v>642</v>
      </c>
      <c r="H289" t="s">
        <v>667</v>
      </c>
      <c r="I289" t="s">
        <v>54</v>
      </c>
      <c r="J289" t="s">
        <v>668</v>
      </c>
      <c r="K289" t="s">
        <v>56</v>
      </c>
      <c r="L289">
        <v>0</v>
      </c>
      <c r="M289" t="s">
        <v>73</v>
      </c>
      <c r="N289">
        <v>0</v>
      </c>
      <c r="O289" t="s">
        <v>58</v>
      </c>
      <c r="P289" t="s">
        <v>59</v>
      </c>
      <c r="Q289" t="s">
        <v>645</v>
      </c>
      <c r="R289" t="s">
        <v>668</v>
      </c>
      <c r="S289" s="1">
        <v>44456</v>
      </c>
      <c r="T289" s="1">
        <v>44461</v>
      </c>
      <c r="U289">
        <v>37501</v>
      </c>
      <c r="V289" t="s">
        <v>61</v>
      </c>
      <c r="W289" t="s">
        <v>669</v>
      </c>
      <c r="X289" s="1">
        <v>44463</v>
      </c>
      <c r="Y289" t="s">
        <v>207</v>
      </c>
      <c r="Z289">
        <v>152.78</v>
      </c>
      <c r="AA289">
        <v>16</v>
      </c>
      <c r="AB289">
        <v>12.22</v>
      </c>
      <c r="AC289">
        <v>0</v>
      </c>
      <c r="AD289">
        <v>165</v>
      </c>
      <c r="AE289">
        <v>5460.4</v>
      </c>
      <c r="AF289">
        <v>6000</v>
      </c>
      <c r="AG289" t="s">
        <v>647</v>
      </c>
      <c r="AH289" t="s">
        <v>65</v>
      </c>
      <c r="AI289" t="s">
        <v>65</v>
      </c>
      <c r="AJ289" t="s">
        <v>66</v>
      </c>
      <c r="AK289" t="s">
        <v>66</v>
      </c>
      <c r="AL289" t="s">
        <v>66</v>
      </c>
      <c r="AM289" s="2" t="str">
        <f>HYPERLINK("https://transparencia.cidesi.mx/comprobantes/2021/CQ2100880 /C12A-5705_PRL171009NY4_PDF.pdf")</f>
        <v>https://transparencia.cidesi.mx/comprobantes/2021/CQ2100880 /C12A-5705_PRL171009NY4_PDF.pdf</v>
      </c>
      <c r="AN289" t="str">
        <f>HYPERLINK("https://transparencia.cidesi.mx/comprobantes/2021/CQ2100880 /C12A-5705_PRL171009NY4_PDF.pdf")</f>
        <v>https://transparencia.cidesi.mx/comprobantes/2021/CQ2100880 /C12A-5705_PRL171009NY4_PDF.pdf</v>
      </c>
      <c r="AO289" t="str">
        <f>HYPERLINK("https://transparencia.cidesi.mx/comprobantes/2021/CQ2100880 /C12A-5705_PRL171009NY4_XML.xml")</f>
        <v>https://transparencia.cidesi.mx/comprobantes/2021/CQ2100880 /C12A-5705_PRL171009NY4_XML.xml</v>
      </c>
      <c r="AP289" t="s">
        <v>670</v>
      </c>
      <c r="AQ289" t="s">
        <v>671</v>
      </c>
      <c r="AR289" t="s">
        <v>672</v>
      </c>
      <c r="AS289" t="s">
        <v>673</v>
      </c>
      <c r="AT289" s="1">
        <v>44467</v>
      </c>
      <c r="AU289" t="s">
        <v>73</v>
      </c>
    </row>
    <row r="290" spans="1:47" x14ac:dyDescent="0.3">
      <c r="A290" t="s">
        <v>47</v>
      </c>
      <c r="B290" t="s">
        <v>48</v>
      </c>
      <c r="C290" t="s">
        <v>49</v>
      </c>
      <c r="D290">
        <v>507</v>
      </c>
      <c r="E290" t="s">
        <v>302</v>
      </c>
      <c r="F290" t="s">
        <v>642</v>
      </c>
      <c r="G290" t="s">
        <v>642</v>
      </c>
      <c r="H290" t="s">
        <v>667</v>
      </c>
      <c r="I290" t="s">
        <v>54</v>
      </c>
      <c r="J290" t="s">
        <v>668</v>
      </c>
      <c r="K290" t="s">
        <v>56</v>
      </c>
      <c r="L290">
        <v>0</v>
      </c>
      <c r="M290" t="s">
        <v>73</v>
      </c>
      <c r="N290">
        <v>0</v>
      </c>
      <c r="O290" t="s">
        <v>58</v>
      </c>
      <c r="P290" t="s">
        <v>59</v>
      </c>
      <c r="Q290" t="s">
        <v>645</v>
      </c>
      <c r="R290" t="s">
        <v>668</v>
      </c>
      <c r="S290" s="1">
        <v>44456</v>
      </c>
      <c r="T290" s="1">
        <v>44461</v>
      </c>
      <c r="U290">
        <v>37501</v>
      </c>
      <c r="V290" t="s">
        <v>61</v>
      </c>
      <c r="W290" t="s">
        <v>669</v>
      </c>
      <c r="X290" s="1">
        <v>44463</v>
      </c>
      <c r="Y290" t="s">
        <v>207</v>
      </c>
      <c r="Z290">
        <v>97.22</v>
      </c>
      <c r="AA290">
        <v>16</v>
      </c>
      <c r="AB290">
        <v>7.78</v>
      </c>
      <c r="AC290">
        <v>0</v>
      </c>
      <c r="AD290">
        <v>105</v>
      </c>
      <c r="AE290">
        <v>5460.4</v>
      </c>
      <c r="AF290">
        <v>6000</v>
      </c>
      <c r="AG290" t="s">
        <v>647</v>
      </c>
      <c r="AH290" t="s">
        <v>65</v>
      </c>
      <c r="AI290" t="s">
        <v>65</v>
      </c>
      <c r="AJ290" t="s">
        <v>66</v>
      </c>
      <c r="AK290" t="s">
        <v>66</v>
      </c>
      <c r="AL290" t="s">
        <v>66</v>
      </c>
      <c r="AM290" s="2" t="str">
        <f>HYPERLINK("https://transparencia.cidesi.mx/comprobantes/2021/CQ2100880 /C137389-5_RSF8410262S1_PDF.pdf")</f>
        <v>https://transparencia.cidesi.mx/comprobantes/2021/CQ2100880 /C137389-5_RSF8410262S1_PDF.pdf</v>
      </c>
      <c r="AN290" t="str">
        <f>HYPERLINK("https://transparencia.cidesi.mx/comprobantes/2021/CQ2100880 /C137389-5_RSF8410262S1_PDF.pdf")</f>
        <v>https://transparencia.cidesi.mx/comprobantes/2021/CQ2100880 /C137389-5_RSF8410262S1_PDF.pdf</v>
      </c>
      <c r="AO290" t="str">
        <f>HYPERLINK("https://transparencia.cidesi.mx/comprobantes/2021/CQ2100880 /C137389-5_RSF8410262S1_XML.xml")</f>
        <v>https://transparencia.cidesi.mx/comprobantes/2021/CQ2100880 /C137389-5_RSF8410262S1_XML.xml</v>
      </c>
      <c r="AP290" t="s">
        <v>670</v>
      </c>
      <c r="AQ290" t="s">
        <v>671</v>
      </c>
      <c r="AR290" t="s">
        <v>672</v>
      </c>
      <c r="AS290" t="s">
        <v>673</v>
      </c>
      <c r="AT290" s="1">
        <v>44467</v>
      </c>
      <c r="AU290" t="s">
        <v>73</v>
      </c>
    </row>
    <row r="291" spans="1:47" x14ac:dyDescent="0.3">
      <c r="A291" t="s">
        <v>47</v>
      </c>
      <c r="B291" t="s">
        <v>48</v>
      </c>
      <c r="C291" t="s">
        <v>49</v>
      </c>
      <c r="D291">
        <v>507</v>
      </c>
      <c r="E291" t="s">
        <v>302</v>
      </c>
      <c r="F291" t="s">
        <v>642</v>
      </c>
      <c r="G291" t="s">
        <v>642</v>
      </c>
      <c r="H291" t="s">
        <v>674</v>
      </c>
      <c r="I291" t="s">
        <v>54</v>
      </c>
      <c r="J291" t="s">
        <v>668</v>
      </c>
      <c r="K291" t="s">
        <v>56</v>
      </c>
      <c r="L291">
        <v>0</v>
      </c>
      <c r="M291" t="s">
        <v>73</v>
      </c>
      <c r="N291">
        <v>0</v>
      </c>
      <c r="O291" t="s">
        <v>58</v>
      </c>
      <c r="P291" t="s">
        <v>59</v>
      </c>
      <c r="Q291" t="s">
        <v>645</v>
      </c>
      <c r="R291" t="s">
        <v>668</v>
      </c>
      <c r="S291" s="1">
        <v>44461</v>
      </c>
      <c r="T291" s="1">
        <v>44463</v>
      </c>
      <c r="U291">
        <v>37501</v>
      </c>
      <c r="V291" t="s">
        <v>104</v>
      </c>
      <c r="W291" t="s">
        <v>675</v>
      </c>
      <c r="X291" s="1">
        <v>44468</v>
      </c>
      <c r="Y291" t="s">
        <v>207</v>
      </c>
      <c r="Z291">
        <v>756.65</v>
      </c>
      <c r="AA291">
        <v>59.35</v>
      </c>
      <c r="AB291">
        <v>59.35</v>
      </c>
      <c r="AC291">
        <v>0</v>
      </c>
      <c r="AD291">
        <v>816</v>
      </c>
      <c r="AE291">
        <v>2369</v>
      </c>
      <c r="AF291">
        <v>2727</v>
      </c>
      <c r="AG291" t="s">
        <v>652</v>
      </c>
      <c r="AH291" t="s">
        <v>65</v>
      </c>
      <c r="AI291" t="s">
        <v>65</v>
      </c>
      <c r="AJ291" t="s">
        <v>66</v>
      </c>
      <c r="AK291" t="s">
        <v>66</v>
      </c>
      <c r="AL291" t="s">
        <v>66</v>
      </c>
      <c r="AM291" s="2" t="str">
        <f>HYPERLINK("https://transparencia.cidesi.mx/comprobantes/2021/CQ2100911 /C1H0000006669_RGR170426NV0_PDF.pdf")</f>
        <v>https://transparencia.cidesi.mx/comprobantes/2021/CQ2100911 /C1H0000006669_RGR170426NV0_PDF.pdf</v>
      </c>
      <c r="AN291" t="str">
        <f>HYPERLINK("https://transparencia.cidesi.mx/comprobantes/2021/CQ2100911 /C1H0000006669_RGR170426NV0_PDF.pdf")</f>
        <v>https://transparencia.cidesi.mx/comprobantes/2021/CQ2100911 /C1H0000006669_RGR170426NV0_PDF.pdf</v>
      </c>
      <c r="AO291" t="str">
        <f>HYPERLINK("https://transparencia.cidesi.mx/comprobantes/2021/CQ2100911 /C1H0000006669_RGR170426NV0_XML.xml")</f>
        <v>https://transparencia.cidesi.mx/comprobantes/2021/CQ2100911 /C1H0000006669_RGR170426NV0_XML.xml</v>
      </c>
      <c r="AP291" t="s">
        <v>676</v>
      </c>
      <c r="AQ291" t="s">
        <v>671</v>
      </c>
      <c r="AR291" t="s">
        <v>677</v>
      </c>
      <c r="AS291" t="s">
        <v>678</v>
      </c>
      <c r="AT291" s="1">
        <v>44469</v>
      </c>
      <c r="AU291" t="s">
        <v>73</v>
      </c>
    </row>
    <row r="292" spans="1:47" x14ac:dyDescent="0.3">
      <c r="A292" t="s">
        <v>47</v>
      </c>
      <c r="B292" t="s">
        <v>48</v>
      </c>
      <c r="C292" t="s">
        <v>49</v>
      </c>
      <c r="D292">
        <v>507</v>
      </c>
      <c r="E292" t="s">
        <v>302</v>
      </c>
      <c r="F292" t="s">
        <v>642</v>
      </c>
      <c r="G292" t="s">
        <v>642</v>
      </c>
      <c r="H292" t="s">
        <v>674</v>
      </c>
      <c r="I292" t="s">
        <v>54</v>
      </c>
      <c r="J292" t="s">
        <v>668</v>
      </c>
      <c r="K292" t="s">
        <v>56</v>
      </c>
      <c r="L292">
        <v>0</v>
      </c>
      <c r="M292" t="s">
        <v>73</v>
      </c>
      <c r="N292">
        <v>0</v>
      </c>
      <c r="O292" t="s">
        <v>58</v>
      </c>
      <c r="P292" t="s">
        <v>59</v>
      </c>
      <c r="Q292" t="s">
        <v>645</v>
      </c>
      <c r="R292" t="s">
        <v>668</v>
      </c>
      <c r="S292" s="1">
        <v>44461</v>
      </c>
      <c r="T292" s="1">
        <v>44463</v>
      </c>
      <c r="U292">
        <v>37501</v>
      </c>
      <c r="V292" t="s">
        <v>104</v>
      </c>
      <c r="W292" t="s">
        <v>675</v>
      </c>
      <c r="X292" s="1">
        <v>44468</v>
      </c>
      <c r="Y292" t="s">
        <v>207</v>
      </c>
      <c r="Z292">
        <v>756.65</v>
      </c>
      <c r="AA292">
        <v>16</v>
      </c>
      <c r="AB292">
        <v>59.35</v>
      </c>
      <c r="AC292">
        <v>0</v>
      </c>
      <c r="AD292">
        <v>816</v>
      </c>
      <c r="AE292">
        <v>2369</v>
      </c>
      <c r="AF292">
        <v>2727</v>
      </c>
      <c r="AG292" t="s">
        <v>652</v>
      </c>
      <c r="AH292" t="s">
        <v>65</v>
      </c>
      <c r="AI292" t="s">
        <v>65</v>
      </c>
      <c r="AJ292" t="s">
        <v>66</v>
      </c>
      <c r="AK292" t="s">
        <v>66</v>
      </c>
      <c r="AL292" t="s">
        <v>66</v>
      </c>
      <c r="AM292" s="2" t="str">
        <f>HYPERLINK("https://transparencia.cidesi.mx/comprobantes/2021/CQ2100911 /C2H0000006659_RGR170423NV0_PDF.pdf")</f>
        <v>https://transparencia.cidesi.mx/comprobantes/2021/CQ2100911 /C2H0000006659_RGR170423NV0_PDF.pdf</v>
      </c>
      <c r="AN292" t="str">
        <f>HYPERLINK("https://transparencia.cidesi.mx/comprobantes/2021/CQ2100911 /C2H0000006659_RGR170423NV0_PDF.pdf")</f>
        <v>https://transparencia.cidesi.mx/comprobantes/2021/CQ2100911 /C2H0000006659_RGR170423NV0_PDF.pdf</v>
      </c>
      <c r="AO292" t="str">
        <f>HYPERLINK("https://transparencia.cidesi.mx/comprobantes/2021/CQ2100911 /C2H0000006659_RGR170426NV0_XML.xml")</f>
        <v>https://transparencia.cidesi.mx/comprobantes/2021/CQ2100911 /C2H0000006659_RGR170426NV0_XML.xml</v>
      </c>
      <c r="AP292" t="s">
        <v>676</v>
      </c>
      <c r="AQ292" t="s">
        <v>671</v>
      </c>
      <c r="AR292" t="s">
        <v>677</v>
      </c>
      <c r="AS292" t="s">
        <v>678</v>
      </c>
      <c r="AT292" s="1">
        <v>44469</v>
      </c>
      <c r="AU292" t="s">
        <v>73</v>
      </c>
    </row>
    <row r="293" spans="1:47" x14ac:dyDescent="0.3">
      <c r="A293" t="s">
        <v>47</v>
      </c>
      <c r="B293" t="s">
        <v>48</v>
      </c>
      <c r="C293" t="s">
        <v>49</v>
      </c>
      <c r="D293">
        <v>507</v>
      </c>
      <c r="E293" t="s">
        <v>302</v>
      </c>
      <c r="F293" t="s">
        <v>642</v>
      </c>
      <c r="G293" t="s">
        <v>642</v>
      </c>
      <c r="H293" t="s">
        <v>674</v>
      </c>
      <c r="I293" t="s">
        <v>54</v>
      </c>
      <c r="J293" t="s">
        <v>668</v>
      </c>
      <c r="K293" t="s">
        <v>56</v>
      </c>
      <c r="L293">
        <v>0</v>
      </c>
      <c r="M293" t="s">
        <v>73</v>
      </c>
      <c r="N293">
        <v>0</v>
      </c>
      <c r="O293" t="s">
        <v>58</v>
      </c>
      <c r="P293" t="s">
        <v>59</v>
      </c>
      <c r="Q293" t="s">
        <v>645</v>
      </c>
      <c r="R293" t="s">
        <v>668</v>
      </c>
      <c r="S293" s="1">
        <v>44461</v>
      </c>
      <c r="T293" s="1">
        <v>44463</v>
      </c>
      <c r="U293">
        <v>37501</v>
      </c>
      <c r="V293" t="s">
        <v>61</v>
      </c>
      <c r="W293" t="s">
        <v>675</v>
      </c>
      <c r="X293" s="1">
        <v>44468</v>
      </c>
      <c r="Y293" t="s">
        <v>207</v>
      </c>
      <c r="Z293">
        <v>181.03</v>
      </c>
      <c r="AA293">
        <v>16</v>
      </c>
      <c r="AB293">
        <v>28.97</v>
      </c>
      <c r="AC293">
        <v>21</v>
      </c>
      <c r="AD293">
        <v>231</v>
      </c>
      <c r="AE293">
        <v>2369</v>
      </c>
      <c r="AF293">
        <v>2727</v>
      </c>
      <c r="AG293" t="s">
        <v>647</v>
      </c>
      <c r="AH293" t="s">
        <v>65</v>
      </c>
      <c r="AI293" t="s">
        <v>65</v>
      </c>
      <c r="AJ293" t="s">
        <v>66</v>
      </c>
      <c r="AK293" t="s">
        <v>66</v>
      </c>
      <c r="AL293" t="s">
        <v>66</v>
      </c>
      <c r="AM293" s="2" t="str">
        <f>HYPERLINK("https://transparencia.cidesi.mx/comprobantes/2021/CQ2100911 /C3164721_SLE0008119V5_PDF.pdf")</f>
        <v>https://transparencia.cidesi.mx/comprobantes/2021/CQ2100911 /C3164721_SLE0008119V5_PDF.pdf</v>
      </c>
      <c r="AN293" t="str">
        <f>HYPERLINK("https://transparencia.cidesi.mx/comprobantes/2021/CQ2100911 /C3164721_SLE0008119V5_PDF.pdf")</f>
        <v>https://transparencia.cidesi.mx/comprobantes/2021/CQ2100911 /C3164721_SLE0008119V5_PDF.pdf</v>
      </c>
      <c r="AO293" t="str">
        <f>HYPERLINK("https://transparencia.cidesi.mx/comprobantes/2021/CQ2100911 /C3164721_SLE0008119V5_XML.xml")</f>
        <v>https://transparencia.cidesi.mx/comprobantes/2021/CQ2100911 /C3164721_SLE0008119V5_XML.xml</v>
      </c>
      <c r="AP293" t="s">
        <v>676</v>
      </c>
      <c r="AQ293" t="s">
        <v>671</v>
      </c>
      <c r="AR293" t="s">
        <v>677</v>
      </c>
      <c r="AS293" t="s">
        <v>678</v>
      </c>
      <c r="AT293" s="1">
        <v>44469</v>
      </c>
      <c r="AU293" t="s">
        <v>73</v>
      </c>
    </row>
    <row r="294" spans="1:47" x14ac:dyDescent="0.3">
      <c r="A294" t="s">
        <v>47</v>
      </c>
      <c r="B294" t="s">
        <v>48</v>
      </c>
      <c r="C294" t="s">
        <v>49</v>
      </c>
      <c r="D294">
        <v>507</v>
      </c>
      <c r="E294" t="s">
        <v>302</v>
      </c>
      <c r="F294" t="s">
        <v>642</v>
      </c>
      <c r="G294" t="s">
        <v>642</v>
      </c>
      <c r="H294" t="s">
        <v>674</v>
      </c>
      <c r="I294" t="s">
        <v>54</v>
      </c>
      <c r="J294" t="s">
        <v>668</v>
      </c>
      <c r="K294" t="s">
        <v>56</v>
      </c>
      <c r="L294">
        <v>0</v>
      </c>
      <c r="M294" t="s">
        <v>73</v>
      </c>
      <c r="N294">
        <v>0</v>
      </c>
      <c r="O294" t="s">
        <v>58</v>
      </c>
      <c r="P294" t="s">
        <v>59</v>
      </c>
      <c r="Q294" t="s">
        <v>645</v>
      </c>
      <c r="R294" t="s">
        <v>668</v>
      </c>
      <c r="S294" s="1">
        <v>44461</v>
      </c>
      <c r="T294" s="1">
        <v>44463</v>
      </c>
      <c r="U294">
        <v>37501</v>
      </c>
      <c r="V294" t="s">
        <v>61</v>
      </c>
      <c r="W294" t="s">
        <v>675</v>
      </c>
      <c r="X294" s="1">
        <v>44468</v>
      </c>
      <c r="Y294" t="s">
        <v>207</v>
      </c>
      <c r="Z294">
        <v>265.74</v>
      </c>
      <c r="AA294">
        <v>16</v>
      </c>
      <c r="AB294">
        <v>21.26</v>
      </c>
      <c r="AC294">
        <v>20</v>
      </c>
      <c r="AD294">
        <v>307</v>
      </c>
      <c r="AE294">
        <v>2369</v>
      </c>
      <c r="AF294">
        <v>2727</v>
      </c>
      <c r="AG294" t="s">
        <v>647</v>
      </c>
      <c r="AH294" t="s">
        <v>65</v>
      </c>
      <c r="AI294" t="s">
        <v>65</v>
      </c>
      <c r="AJ294" t="s">
        <v>66</v>
      </c>
      <c r="AK294" t="s">
        <v>66</v>
      </c>
      <c r="AL294" t="s">
        <v>66</v>
      </c>
      <c r="AM294" s="2" t="str">
        <f>HYPERLINK("https://transparencia.cidesi.mx/comprobantes/2021/CQ2100911 /C4111699_LPR090122AU9_PDF.pdf")</f>
        <v>https://transparencia.cidesi.mx/comprobantes/2021/CQ2100911 /C4111699_LPR090122AU9_PDF.pdf</v>
      </c>
      <c r="AN294" t="str">
        <f>HYPERLINK("https://transparencia.cidesi.mx/comprobantes/2021/CQ2100911 /C4111699_LPR090122AU9_PDF.pdf")</f>
        <v>https://transparencia.cidesi.mx/comprobantes/2021/CQ2100911 /C4111699_LPR090122AU9_PDF.pdf</v>
      </c>
      <c r="AO294" t="str">
        <f>HYPERLINK("https://transparencia.cidesi.mx/comprobantes/2021/CQ2100911 /C4111699_LPR090122AU9_PDF.xml")</f>
        <v>https://transparencia.cidesi.mx/comprobantes/2021/CQ2100911 /C4111699_LPR090122AU9_PDF.xml</v>
      </c>
      <c r="AP294" t="s">
        <v>676</v>
      </c>
      <c r="AQ294" t="s">
        <v>671</v>
      </c>
      <c r="AR294" t="s">
        <v>677</v>
      </c>
      <c r="AS294" t="s">
        <v>678</v>
      </c>
      <c r="AT294" s="1">
        <v>44469</v>
      </c>
      <c r="AU294" t="s">
        <v>73</v>
      </c>
    </row>
    <row r="295" spans="1:47" x14ac:dyDescent="0.3">
      <c r="A295" t="s">
        <v>47</v>
      </c>
      <c r="B295" t="s">
        <v>48</v>
      </c>
      <c r="C295" t="s">
        <v>49</v>
      </c>
      <c r="D295">
        <v>507</v>
      </c>
      <c r="E295" t="s">
        <v>302</v>
      </c>
      <c r="F295" t="s">
        <v>642</v>
      </c>
      <c r="G295" t="s">
        <v>642</v>
      </c>
      <c r="H295" t="s">
        <v>674</v>
      </c>
      <c r="I295" t="s">
        <v>54</v>
      </c>
      <c r="J295" t="s">
        <v>668</v>
      </c>
      <c r="K295" t="s">
        <v>56</v>
      </c>
      <c r="L295">
        <v>0</v>
      </c>
      <c r="M295" t="s">
        <v>73</v>
      </c>
      <c r="N295">
        <v>0</v>
      </c>
      <c r="O295" t="s">
        <v>58</v>
      </c>
      <c r="P295" t="s">
        <v>59</v>
      </c>
      <c r="Q295" t="s">
        <v>645</v>
      </c>
      <c r="R295" t="s">
        <v>668</v>
      </c>
      <c r="S295" s="1">
        <v>44461</v>
      </c>
      <c r="T295" s="1">
        <v>44463</v>
      </c>
      <c r="U295">
        <v>37501</v>
      </c>
      <c r="V295" t="s">
        <v>61</v>
      </c>
      <c r="W295" t="s">
        <v>675</v>
      </c>
      <c r="X295" s="1">
        <v>44468</v>
      </c>
      <c r="Y295" t="s">
        <v>207</v>
      </c>
      <c r="Z295">
        <v>74.34</v>
      </c>
      <c r="AA295">
        <v>16</v>
      </c>
      <c r="AB295">
        <v>3.66</v>
      </c>
      <c r="AC295">
        <v>0</v>
      </c>
      <c r="AD295">
        <v>78</v>
      </c>
      <c r="AE295">
        <v>2369</v>
      </c>
      <c r="AF295">
        <v>2727</v>
      </c>
      <c r="AG295" t="s">
        <v>647</v>
      </c>
      <c r="AH295" t="s">
        <v>65</v>
      </c>
      <c r="AI295" t="s">
        <v>65</v>
      </c>
      <c r="AJ295" t="s">
        <v>66</v>
      </c>
      <c r="AK295" t="s">
        <v>66</v>
      </c>
      <c r="AL295" t="s">
        <v>66</v>
      </c>
      <c r="AM295" s="2" t="str">
        <f>HYPERLINK("https://transparencia.cidesi.mx/comprobantes/2021/CQ2100911 /C5346212259_CCO8608231N4_PDF.pdf")</f>
        <v>https://transparencia.cidesi.mx/comprobantes/2021/CQ2100911 /C5346212259_CCO8608231N4_PDF.pdf</v>
      </c>
      <c r="AN295" t="str">
        <f>HYPERLINK("https://transparencia.cidesi.mx/comprobantes/2021/CQ2100911 /C5346212259_CCO8608231N4_PDF.pdf")</f>
        <v>https://transparencia.cidesi.mx/comprobantes/2021/CQ2100911 /C5346212259_CCO8608231N4_PDF.pdf</v>
      </c>
      <c r="AO295" t="str">
        <f>HYPERLINK("https://transparencia.cidesi.mx/comprobantes/2021/CQ2100911 /C5346212259_CCO8605231N4_XML.xml")</f>
        <v>https://transparencia.cidesi.mx/comprobantes/2021/CQ2100911 /C5346212259_CCO8605231N4_XML.xml</v>
      </c>
      <c r="AP295" t="s">
        <v>676</v>
      </c>
      <c r="AQ295" t="s">
        <v>671</v>
      </c>
      <c r="AR295" t="s">
        <v>677</v>
      </c>
      <c r="AS295" t="s">
        <v>678</v>
      </c>
      <c r="AT295" s="1">
        <v>44469</v>
      </c>
      <c r="AU295" t="s">
        <v>73</v>
      </c>
    </row>
    <row r="296" spans="1:47" x14ac:dyDescent="0.3">
      <c r="A296" t="s">
        <v>47</v>
      </c>
      <c r="B296" t="s">
        <v>48</v>
      </c>
      <c r="C296" t="s">
        <v>49</v>
      </c>
      <c r="D296">
        <v>507</v>
      </c>
      <c r="E296" t="s">
        <v>302</v>
      </c>
      <c r="F296" t="s">
        <v>642</v>
      </c>
      <c r="G296" t="s">
        <v>642</v>
      </c>
      <c r="H296" t="s">
        <v>674</v>
      </c>
      <c r="I296" t="s">
        <v>54</v>
      </c>
      <c r="J296" t="s">
        <v>668</v>
      </c>
      <c r="K296" t="s">
        <v>56</v>
      </c>
      <c r="L296">
        <v>0</v>
      </c>
      <c r="M296" t="s">
        <v>73</v>
      </c>
      <c r="N296">
        <v>0</v>
      </c>
      <c r="O296" t="s">
        <v>58</v>
      </c>
      <c r="P296" t="s">
        <v>59</v>
      </c>
      <c r="Q296" t="s">
        <v>645</v>
      </c>
      <c r="R296" t="s">
        <v>668</v>
      </c>
      <c r="S296" s="1">
        <v>44461</v>
      </c>
      <c r="T296" s="1">
        <v>44463</v>
      </c>
      <c r="U296">
        <v>37501</v>
      </c>
      <c r="V296" t="s">
        <v>61</v>
      </c>
      <c r="W296" t="s">
        <v>675</v>
      </c>
      <c r="X296" s="1">
        <v>44468</v>
      </c>
      <c r="Y296" t="s">
        <v>207</v>
      </c>
      <c r="Z296">
        <v>63.48</v>
      </c>
      <c r="AA296">
        <v>16</v>
      </c>
      <c r="AB296">
        <v>2.52</v>
      </c>
      <c r="AC296">
        <v>0</v>
      </c>
      <c r="AD296">
        <v>66</v>
      </c>
      <c r="AE296">
        <v>2369</v>
      </c>
      <c r="AF296">
        <v>2727</v>
      </c>
      <c r="AG296" t="s">
        <v>647</v>
      </c>
      <c r="AH296" t="s">
        <v>65</v>
      </c>
      <c r="AI296" t="s">
        <v>65</v>
      </c>
      <c r="AJ296" t="s">
        <v>66</v>
      </c>
      <c r="AK296" t="s">
        <v>66</v>
      </c>
      <c r="AL296" t="s">
        <v>66</v>
      </c>
      <c r="AM296" s="2" t="str">
        <f>HYPERLINK("https://transparencia.cidesi.mx/comprobantes/2021/CQ2100911 /C6345713221_CCO8605231N4_PDF.pdf")</f>
        <v>https://transparencia.cidesi.mx/comprobantes/2021/CQ2100911 /C6345713221_CCO8605231N4_PDF.pdf</v>
      </c>
      <c r="AN296" t="str">
        <f>HYPERLINK("https://transparencia.cidesi.mx/comprobantes/2021/CQ2100911 /C6345713221_CCO8605231N4_PDF.pdf")</f>
        <v>https://transparencia.cidesi.mx/comprobantes/2021/CQ2100911 /C6345713221_CCO8605231N4_PDF.pdf</v>
      </c>
      <c r="AO296" t="str">
        <f>HYPERLINK("https://transparencia.cidesi.mx/comprobantes/2021/CQ2100911 /C6345713221_CCO8605231N4_XML.xml")</f>
        <v>https://transparencia.cidesi.mx/comprobantes/2021/CQ2100911 /C6345713221_CCO8605231N4_XML.xml</v>
      </c>
      <c r="AP296" t="s">
        <v>676</v>
      </c>
      <c r="AQ296" t="s">
        <v>671</v>
      </c>
      <c r="AR296" t="s">
        <v>677</v>
      </c>
      <c r="AS296" t="s">
        <v>678</v>
      </c>
      <c r="AT296" s="1">
        <v>44469</v>
      </c>
      <c r="AU296" t="s">
        <v>73</v>
      </c>
    </row>
    <row r="297" spans="1:47" x14ac:dyDescent="0.3">
      <c r="A297" t="s">
        <v>47</v>
      </c>
      <c r="B297" t="s">
        <v>48</v>
      </c>
      <c r="C297" t="s">
        <v>49</v>
      </c>
      <c r="D297">
        <v>507</v>
      </c>
      <c r="E297" t="s">
        <v>302</v>
      </c>
      <c r="F297" t="s">
        <v>642</v>
      </c>
      <c r="G297" t="s">
        <v>642</v>
      </c>
      <c r="H297" t="s">
        <v>674</v>
      </c>
      <c r="I297" t="s">
        <v>54</v>
      </c>
      <c r="J297" t="s">
        <v>668</v>
      </c>
      <c r="K297" t="s">
        <v>56</v>
      </c>
      <c r="L297">
        <v>0</v>
      </c>
      <c r="M297" t="s">
        <v>73</v>
      </c>
      <c r="N297">
        <v>0</v>
      </c>
      <c r="O297" t="s">
        <v>58</v>
      </c>
      <c r="P297" t="s">
        <v>59</v>
      </c>
      <c r="Q297" t="s">
        <v>645</v>
      </c>
      <c r="R297" t="s">
        <v>668</v>
      </c>
      <c r="S297" s="1">
        <v>44461</v>
      </c>
      <c r="T297" s="1">
        <v>44463</v>
      </c>
      <c r="U297">
        <v>37501</v>
      </c>
      <c r="V297" t="s">
        <v>61</v>
      </c>
      <c r="W297" t="s">
        <v>675</v>
      </c>
      <c r="X297" s="1">
        <v>44468</v>
      </c>
      <c r="Y297" t="s">
        <v>207</v>
      </c>
      <c r="Z297">
        <v>47.41</v>
      </c>
      <c r="AA297">
        <v>16</v>
      </c>
      <c r="AB297">
        <v>7.59</v>
      </c>
      <c r="AC297">
        <v>0</v>
      </c>
      <c r="AD297">
        <v>55</v>
      </c>
      <c r="AE297">
        <v>2369</v>
      </c>
      <c r="AF297">
        <v>2727</v>
      </c>
      <c r="AG297" t="s">
        <v>647</v>
      </c>
      <c r="AH297" t="s">
        <v>65</v>
      </c>
      <c r="AI297" t="s">
        <v>65</v>
      </c>
      <c r="AJ297" t="s">
        <v>66</v>
      </c>
      <c r="AK297" t="s">
        <v>66</v>
      </c>
      <c r="AL297" t="s">
        <v>66</v>
      </c>
      <c r="AM297" s="2" t="str">
        <f>HYPERLINK("https://transparencia.cidesi.mx/comprobantes/2021/CQ2100911 /C732847_RGA081209EU4_PDF.pdf")</f>
        <v>https://transparencia.cidesi.mx/comprobantes/2021/CQ2100911 /C732847_RGA081209EU4_PDF.pdf</v>
      </c>
      <c r="AN297" t="str">
        <f>HYPERLINK("https://transparencia.cidesi.mx/comprobantes/2021/CQ2100911 /C732847_RGA081209EU4_PDF.pdf")</f>
        <v>https://transparencia.cidesi.mx/comprobantes/2021/CQ2100911 /C732847_RGA081209EU4_PDF.pdf</v>
      </c>
      <c r="AO297" t="str">
        <f>HYPERLINK("https://transparencia.cidesi.mx/comprobantes/2021/CQ2100911 /C732847_RGA081209EU4_XML.xml")</f>
        <v>https://transparencia.cidesi.mx/comprobantes/2021/CQ2100911 /C732847_RGA081209EU4_XML.xml</v>
      </c>
      <c r="AP297" t="s">
        <v>676</v>
      </c>
      <c r="AQ297" t="s">
        <v>671</v>
      </c>
      <c r="AR297" t="s">
        <v>677</v>
      </c>
      <c r="AS297" t="s">
        <v>678</v>
      </c>
      <c r="AT297" s="1">
        <v>44469</v>
      </c>
      <c r="AU297" t="s">
        <v>73</v>
      </c>
    </row>
    <row r="298" spans="1:47" x14ac:dyDescent="0.3">
      <c r="A298" t="s">
        <v>47</v>
      </c>
      <c r="B298" t="s">
        <v>48</v>
      </c>
      <c r="C298" t="s">
        <v>49</v>
      </c>
      <c r="D298">
        <v>512</v>
      </c>
      <c r="E298" t="s">
        <v>679</v>
      </c>
      <c r="F298" t="s">
        <v>680</v>
      </c>
      <c r="G298" t="s">
        <v>681</v>
      </c>
      <c r="H298" t="s">
        <v>682</v>
      </c>
      <c r="I298" t="s">
        <v>54</v>
      </c>
      <c r="J298" t="s">
        <v>683</v>
      </c>
      <c r="K298" t="s">
        <v>56</v>
      </c>
      <c r="L298">
        <v>0</v>
      </c>
      <c r="M298" t="s">
        <v>73</v>
      </c>
      <c r="N298">
        <v>0</v>
      </c>
      <c r="O298" t="s">
        <v>58</v>
      </c>
      <c r="P298" t="s">
        <v>59</v>
      </c>
      <c r="Q298" t="s">
        <v>408</v>
      </c>
      <c r="R298" t="s">
        <v>683</v>
      </c>
      <c r="S298" s="1">
        <v>44460</v>
      </c>
      <c r="T298" s="1">
        <v>44463</v>
      </c>
      <c r="U298">
        <v>37501</v>
      </c>
      <c r="V298" t="s">
        <v>104</v>
      </c>
      <c r="W298" t="s">
        <v>684</v>
      </c>
      <c r="X298" s="1">
        <v>44467</v>
      </c>
      <c r="Y298" t="s">
        <v>63</v>
      </c>
      <c r="Z298">
        <v>1904.2</v>
      </c>
      <c r="AA298">
        <v>16</v>
      </c>
      <c r="AB298">
        <v>295.8</v>
      </c>
      <c r="AC298">
        <v>0</v>
      </c>
      <c r="AD298">
        <v>2200</v>
      </c>
      <c r="AE298">
        <v>3818</v>
      </c>
      <c r="AF298">
        <v>3818</v>
      </c>
      <c r="AG298" t="s">
        <v>685</v>
      </c>
      <c r="AH298" t="s">
        <v>65</v>
      </c>
      <c r="AI298" t="s">
        <v>65</v>
      </c>
      <c r="AJ298" t="s">
        <v>66</v>
      </c>
      <c r="AK298" t="s">
        <v>66</v>
      </c>
      <c r="AL298" t="s">
        <v>66</v>
      </c>
      <c r="AM298" s="2" t="str">
        <f>HYPERLINK("https://transparencia.cidesi.mx/comprobantes/2021/CQ2100908 /C1FM-00009226.pdf")</f>
        <v>https://transparencia.cidesi.mx/comprobantes/2021/CQ2100908 /C1FM-00009226.pdf</v>
      </c>
      <c r="AN298" t="str">
        <f>HYPERLINK("https://transparencia.cidesi.mx/comprobantes/2021/CQ2100908 /C1FM-00009226.pdf")</f>
        <v>https://transparencia.cidesi.mx/comprobantes/2021/CQ2100908 /C1FM-00009226.pdf</v>
      </c>
      <c r="AO298" t="str">
        <f>HYPERLINK("https://transparencia.cidesi.mx/comprobantes/2021/CQ2100908 /C1FM-00009226.xml")</f>
        <v>https://transparencia.cidesi.mx/comprobantes/2021/CQ2100908 /C1FM-00009226.xml</v>
      </c>
      <c r="AP298" t="s">
        <v>686</v>
      </c>
      <c r="AQ298" t="s">
        <v>687</v>
      </c>
      <c r="AR298" t="s">
        <v>688</v>
      </c>
      <c r="AS298" t="s">
        <v>689</v>
      </c>
      <c r="AT298" s="1">
        <v>44469</v>
      </c>
      <c r="AU298" s="1">
        <v>44470</v>
      </c>
    </row>
    <row r="299" spans="1:47" x14ac:dyDescent="0.3">
      <c r="A299" t="s">
        <v>47</v>
      </c>
      <c r="B299" t="s">
        <v>48</v>
      </c>
      <c r="C299" t="s">
        <v>49</v>
      </c>
      <c r="D299">
        <v>512</v>
      </c>
      <c r="E299" t="s">
        <v>679</v>
      </c>
      <c r="F299" t="s">
        <v>680</v>
      </c>
      <c r="G299" t="s">
        <v>681</v>
      </c>
      <c r="H299" t="s">
        <v>682</v>
      </c>
      <c r="I299" t="s">
        <v>54</v>
      </c>
      <c r="J299" t="s">
        <v>683</v>
      </c>
      <c r="K299" t="s">
        <v>56</v>
      </c>
      <c r="L299">
        <v>0</v>
      </c>
      <c r="M299" t="s">
        <v>73</v>
      </c>
      <c r="N299">
        <v>0</v>
      </c>
      <c r="O299" t="s">
        <v>58</v>
      </c>
      <c r="P299" t="s">
        <v>59</v>
      </c>
      <c r="Q299" t="s">
        <v>408</v>
      </c>
      <c r="R299" t="s">
        <v>683</v>
      </c>
      <c r="S299" s="1">
        <v>44460</v>
      </c>
      <c r="T299" s="1">
        <v>44463</v>
      </c>
      <c r="U299">
        <v>37501</v>
      </c>
      <c r="V299" t="s">
        <v>104</v>
      </c>
      <c r="W299" t="s">
        <v>684</v>
      </c>
      <c r="X299" s="1">
        <v>44467</v>
      </c>
      <c r="Y299" t="s">
        <v>63</v>
      </c>
      <c r="Z299">
        <v>1004.43</v>
      </c>
      <c r="AA299">
        <v>16</v>
      </c>
      <c r="AB299">
        <v>156.57</v>
      </c>
      <c r="AC299">
        <v>0</v>
      </c>
      <c r="AD299">
        <v>1161</v>
      </c>
      <c r="AE299">
        <v>3818</v>
      </c>
      <c r="AF299">
        <v>3818</v>
      </c>
      <c r="AG299" t="s">
        <v>685</v>
      </c>
      <c r="AH299" t="s">
        <v>65</v>
      </c>
      <c r="AI299" t="s">
        <v>65</v>
      </c>
      <c r="AJ299" t="s">
        <v>66</v>
      </c>
      <c r="AK299" t="s">
        <v>66</v>
      </c>
      <c r="AL299" t="s">
        <v>66</v>
      </c>
      <c r="AM299" s="2" t="str">
        <f>HYPERLINK("https://transparencia.cidesi.mx/comprobantes/2021/CQ2100908 /C2OTO_H000024740_0031113.pdf")</f>
        <v>https://transparencia.cidesi.mx/comprobantes/2021/CQ2100908 /C2OTO_H000024740_0031113.pdf</v>
      </c>
      <c r="AN299" t="str">
        <f>HYPERLINK("https://transparencia.cidesi.mx/comprobantes/2021/CQ2100908 /C2OTO_H000024740_0031113.pdf")</f>
        <v>https://transparencia.cidesi.mx/comprobantes/2021/CQ2100908 /C2OTO_H000024740_0031113.pdf</v>
      </c>
      <c r="AO299" t="str">
        <f>HYPERLINK("https://transparencia.cidesi.mx/comprobantes/2021/CQ2100908 /C2OTO_H000024740_0031113.xml")</f>
        <v>https://transparencia.cidesi.mx/comprobantes/2021/CQ2100908 /C2OTO_H000024740_0031113.xml</v>
      </c>
      <c r="AP299" t="s">
        <v>686</v>
      </c>
      <c r="AQ299" t="s">
        <v>687</v>
      </c>
      <c r="AR299" t="s">
        <v>688</v>
      </c>
      <c r="AS299" t="s">
        <v>689</v>
      </c>
      <c r="AT299" s="1">
        <v>44469</v>
      </c>
      <c r="AU299" s="1">
        <v>44470</v>
      </c>
    </row>
    <row r="300" spans="1:47" x14ac:dyDescent="0.3">
      <c r="A300" t="s">
        <v>47</v>
      </c>
      <c r="B300" t="s">
        <v>48</v>
      </c>
      <c r="C300" t="s">
        <v>49</v>
      </c>
      <c r="D300">
        <v>512</v>
      </c>
      <c r="E300" t="s">
        <v>679</v>
      </c>
      <c r="F300" t="s">
        <v>680</v>
      </c>
      <c r="G300" t="s">
        <v>681</v>
      </c>
      <c r="H300" t="s">
        <v>682</v>
      </c>
      <c r="I300" t="s">
        <v>54</v>
      </c>
      <c r="J300" t="s">
        <v>683</v>
      </c>
      <c r="K300" t="s">
        <v>56</v>
      </c>
      <c r="L300">
        <v>0</v>
      </c>
      <c r="M300" t="s">
        <v>73</v>
      </c>
      <c r="N300">
        <v>0</v>
      </c>
      <c r="O300" t="s">
        <v>58</v>
      </c>
      <c r="P300" t="s">
        <v>59</v>
      </c>
      <c r="Q300" t="s">
        <v>408</v>
      </c>
      <c r="R300" t="s">
        <v>683</v>
      </c>
      <c r="S300" s="1">
        <v>44460</v>
      </c>
      <c r="T300" s="1">
        <v>44463</v>
      </c>
      <c r="U300">
        <v>37501</v>
      </c>
      <c r="V300" t="s">
        <v>61</v>
      </c>
      <c r="W300" t="s">
        <v>684</v>
      </c>
      <c r="X300" s="1">
        <v>44467</v>
      </c>
      <c r="Y300" t="s">
        <v>63</v>
      </c>
      <c r="Z300">
        <v>393.97</v>
      </c>
      <c r="AA300">
        <v>16</v>
      </c>
      <c r="AB300">
        <v>63.03</v>
      </c>
      <c r="AC300">
        <v>0</v>
      </c>
      <c r="AD300">
        <v>457</v>
      </c>
      <c r="AE300">
        <v>3818</v>
      </c>
      <c r="AF300">
        <v>3818</v>
      </c>
      <c r="AG300" t="s">
        <v>690</v>
      </c>
      <c r="AH300" t="s">
        <v>65</v>
      </c>
      <c r="AI300" t="s">
        <v>65</v>
      </c>
      <c r="AJ300" t="s">
        <v>66</v>
      </c>
      <c r="AK300" t="s">
        <v>66</v>
      </c>
      <c r="AL300" t="s">
        <v>66</v>
      </c>
      <c r="AM300" s="2" t="str">
        <f>HYPERLINK("https://transparencia.cidesi.mx/comprobantes/2021/CQ2100908 /C3FM-00009227.pdf")</f>
        <v>https://transparencia.cidesi.mx/comprobantes/2021/CQ2100908 /C3FM-00009227.pdf</v>
      </c>
      <c r="AN300" t="str">
        <f>HYPERLINK("https://transparencia.cidesi.mx/comprobantes/2021/CQ2100908 /C3FM-00009227.pdf")</f>
        <v>https://transparencia.cidesi.mx/comprobantes/2021/CQ2100908 /C3FM-00009227.pdf</v>
      </c>
      <c r="AO300" t="str">
        <f>HYPERLINK("https://transparencia.cidesi.mx/comprobantes/2021/CQ2100908 /C3FM-00009227.xml")</f>
        <v>https://transparencia.cidesi.mx/comprobantes/2021/CQ2100908 /C3FM-00009227.xml</v>
      </c>
      <c r="AP300" t="s">
        <v>686</v>
      </c>
      <c r="AQ300" t="s">
        <v>687</v>
      </c>
      <c r="AR300" t="s">
        <v>688</v>
      </c>
      <c r="AS300" t="s">
        <v>689</v>
      </c>
      <c r="AT300" s="1">
        <v>44469</v>
      </c>
      <c r="AU300" s="1">
        <v>44470</v>
      </c>
    </row>
    <row r="301" spans="1:47" x14ac:dyDescent="0.3">
      <c r="A301" t="s">
        <v>47</v>
      </c>
      <c r="B301" t="s">
        <v>224</v>
      </c>
      <c r="C301" t="s">
        <v>372</v>
      </c>
      <c r="D301">
        <v>529</v>
      </c>
      <c r="E301" t="s">
        <v>691</v>
      </c>
      <c r="F301" t="s">
        <v>692</v>
      </c>
      <c r="G301" t="s">
        <v>693</v>
      </c>
      <c r="H301" t="s">
        <v>694</v>
      </c>
      <c r="I301" t="s">
        <v>54</v>
      </c>
      <c r="J301" t="s">
        <v>695</v>
      </c>
      <c r="K301" t="s">
        <v>56</v>
      </c>
      <c r="L301">
        <v>0</v>
      </c>
      <c r="M301" t="s">
        <v>73</v>
      </c>
      <c r="N301">
        <v>0</v>
      </c>
      <c r="O301" t="s">
        <v>58</v>
      </c>
      <c r="P301" t="s">
        <v>59</v>
      </c>
      <c r="Q301" t="s">
        <v>378</v>
      </c>
      <c r="R301" t="s">
        <v>695</v>
      </c>
      <c r="S301" s="1">
        <v>44382</v>
      </c>
      <c r="T301" s="1">
        <v>44382</v>
      </c>
      <c r="U301">
        <v>37501</v>
      </c>
      <c r="V301" t="s">
        <v>61</v>
      </c>
      <c r="W301" t="s">
        <v>696</v>
      </c>
      <c r="X301" s="1">
        <v>44384</v>
      </c>
      <c r="Y301" t="s">
        <v>63</v>
      </c>
      <c r="Z301">
        <v>182.76</v>
      </c>
      <c r="AA301">
        <v>16</v>
      </c>
      <c r="AB301">
        <v>29.24</v>
      </c>
      <c r="AC301">
        <v>0</v>
      </c>
      <c r="AD301">
        <v>212</v>
      </c>
      <c r="AE301">
        <v>212</v>
      </c>
      <c r="AF301">
        <v>545</v>
      </c>
      <c r="AG301" t="s">
        <v>697</v>
      </c>
      <c r="AH301" t="s">
        <v>65</v>
      </c>
      <c r="AI301" t="s">
        <v>65</v>
      </c>
      <c r="AJ301" t="s">
        <v>66</v>
      </c>
      <c r="AK301" t="s">
        <v>66</v>
      </c>
      <c r="AL301" t="s">
        <v>66</v>
      </c>
      <c r="AM301" s="2" t="str">
        <f>HYPERLINK("https://transparencia.cidesi.mx/comprobantes/2021/CQ2100481 /C1F8089_NOV1609299TA.pdf")</f>
        <v>https://transparencia.cidesi.mx/comprobantes/2021/CQ2100481 /C1F8089_NOV1609299TA.pdf</v>
      </c>
      <c r="AN301" t="str">
        <f>HYPERLINK("https://transparencia.cidesi.mx/comprobantes/2021/CQ2100481 /C1F8089_NOV1609299TA.pdf")</f>
        <v>https://transparencia.cidesi.mx/comprobantes/2021/CQ2100481 /C1F8089_NOV1609299TA.pdf</v>
      </c>
      <c r="AO301" t="str">
        <f>HYPERLINK("https://transparencia.cidesi.mx/comprobantes/2021/CQ2100481 /C1F8089_NOV1609299TA.xml")</f>
        <v>https://transparencia.cidesi.mx/comprobantes/2021/CQ2100481 /C1F8089_NOV1609299TA.xml</v>
      </c>
      <c r="AP301" t="s">
        <v>698</v>
      </c>
      <c r="AQ301" t="s">
        <v>699</v>
      </c>
      <c r="AR301" t="s">
        <v>700</v>
      </c>
      <c r="AS301" t="s">
        <v>700</v>
      </c>
      <c r="AT301" s="1">
        <v>44390</v>
      </c>
      <c r="AU301" s="1">
        <v>44396</v>
      </c>
    </row>
    <row r="302" spans="1:47" x14ac:dyDescent="0.3">
      <c r="A302" t="s">
        <v>47</v>
      </c>
      <c r="B302" t="s">
        <v>224</v>
      </c>
      <c r="C302" t="s">
        <v>372</v>
      </c>
      <c r="D302">
        <v>529</v>
      </c>
      <c r="E302" t="s">
        <v>691</v>
      </c>
      <c r="F302" t="s">
        <v>692</v>
      </c>
      <c r="G302" t="s">
        <v>693</v>
      </c>
      <c r="H302" t="s">
        <v>701</v>
      </c>
      <c r="I302" t="s">
        <v>54</v>
      </c>
      <c r="J302" t="s">
        <v>702</v>
      </c>
      <c r="K302" t="s">
        <v>56</v>
      </c>
      <c r="L302">
        <v>0</v>
      </c>
      <c r="M302" t="s">
        <v>73</v>
      </c>
      <c r="N302">
        <v>0</v>
      </c>
      <c r="O302" t="s">
        <v>58</v>
      </c>
      <c r="P302" t="s">
        <v>59</v>
      </c>
      <c r="Q302" t="s">
        <v>378</v>
      </c>
      <c r="R302" t="s">
        <v>702</v>
      </c>
      <c r="S302" s="1">
        <v>44404</v>
      </c>
      <c r="T302" s="1">
        <v>44404</v>
      </c>
      <c r="U302">
        <v>37501</v>
      </c>
      <c r="V302" t="s">
        <v>61</v>
      </c>
      <c r="W302" t="s">
        <v>703</v>
      </c>
      <c r="X302" s="1">
        <v>44406</v>
      </c>
      <c r="Y302" t="s">
        <v>63</v>
      </c>
      <c r="Z302">
        <v>0.1</v>
      </c>
      <c r="AA302">
        <v>0</v>
      </c>
      <c r="AB302">
        <v>0</v>
      </c>
      <c r="AC302">
        <v>0</v>
      </c>
      <c r="AD302">
        <v>0.1</v>
      </c>
      <c r="AE302">
        <v>0.1</v>
      </c>
      <c r="AF302">
        <v>545</v>
      </c>
      <c r="AG302" t="s">
        <v>697</v>
      </c>
      <c r="AH302" t="s">
        <v>66</v>
      </c>
      <c r="AI302" t="s">
        <v>66</v>
      </c>
      <c r="AJ302" t="s">
        <v>66</v>
      </c>
      <c r="AK302" t="s">
        <v>66</v>
      </c>
      <c r="AL302" t="s">
        <v>66</v>
      </c>
      <c r="AM302" s="2" t="s">
        <v>73</v>
      </c>
      <c r="AN302" t="s">
        <v>73</v>
      </c>
      <c r="AO302" t="s">
        <v>73</v>
      </c>
      <c r="AP302" t="s">
        <v>704</v>
      </c>
      <c r="AQ302" t="s">
        <v>705</v>
      </c>
      <c r="AR302" t="s">
        <v>706</v>
      </c>
      <c r="AS302" t="s">
        <v>706</v>
      </c>
      <c r="AT302" s="1">
        <v>44406</v>
      </c>
      <c r="AU302" s="1">
        <v>44411</v>
      </c>
    </row>
    <row r="303" spans="1:47" x14ac:dyDescent="0.3">
      <c r="A303" t="s">
        <v>246</v>
      </c>
      <c r="B303" t="s">
        <v>182</v>
      </c>
      <c r="C303" t="s">
        <v>183</v>
      </c>
      <c r="D303">
        <v>534</v>
      </c>
      <c r="E303" t="s">
        <v>707</v>
      </c>
      <c r="F303" t="s">
        <v>304</v>
      </c>
      <c r="G303" t="s">
        <v>708</v>
      </c>
      <c r="H303" t="s">
        <v>709</v>
      </c>
      <c r="I303" t="s">
        <v>54</v>
      </c>
      <c r="J303" t="s">
        <v>710</v>
      </c>
      <c r="K303" t="s">
        <v>56</v>
      </c>
      <c r="L303">
        <v>0</v>
      </c>
      <c r="M303" t="s">
        <v>73</v>
      </c>
      <c r="N303">
        <v>0</v>
      </c>
      <c r="O303" t="s">
        <v>58</v>
      </c>
      <c r="P303" t="s">
        <v>59</v>
      </c>
      <c r="Q303" t="s">
        <v>60</v>
      </c>
      <c r="R303" t="s">
        <v>710</v>
      </c>
      <c r="S303" s="1">
        <v>44417</v>
      </c>
      <c r="T303" s="1">
        <v>44417</v>
      </c>
      <c r="U303">
        <v>37501</v>
      </c>
      <c r="V303" t="s">
        <v>61</v>
      </c>
      <c r="W303" t="s">
        <v>711</v>
      </c>
      <c r="X303" s="1">
        <v>44420</v>
      </c>
      <c r="Y303" t="s">
        <v>63</v>
      </c>
      <c r="Z303">
        <v>159.47999999999999</v>
      </c>
      <c r="AA303">
        <v>16</v>
      </c>
      <c r="AB303">
        <v>25.52</v>
      </c>
      <c r="AC303">
        <v>18.5</v>
      </c>
      <c r="AD303">
        <v>203.5</v>
      </c>
      <c r="AE303">
        <v>526.9</v>
      </c>
      <c r="AF303">
        <v>545</v>
      </c>
      <c r="AG303" t="s">
        <v>712</v>
      </c>
      <c r="AH303" t="s">
        <v>65</v>
      </c>
      <c r="AI303" t="s">
        <v>65</v>
      </c>
      <c r="AJ303" t="s">
        <v>66</v>
      </c>
      <c r="AK303" t="s">
        <v>66</v>
      </c>
      <c r="AL303" t="s">
        <v>66</v>
      </c>
      <c r="AM303" s="2" t="str">
        <f>HYPERLINK("https://transparencia.cidesi.mx/comprobantes/2021/CQ2100636 /C1MSG_004626849_BI_24745.pdf")</f>
        <v>https://transparencia.cidesi.mx/comprobantes/2021/CQ2100636 /C1MSG_004626849_BI_24745.pdf</v>
      </c>
      <c r="AN303" t="str">
        <f>HYPERLINK("https://transparencia.cidesi.mx/comprobantes/2021/CQ2100636 /C1MSG_004626849_BI_24745.pdf")</f>
        <v>https://transparencia.cidesi.mx/comprobantes/2021/CQ2100636 /C1MSG_004626849_BI_24745.pdf</v>
      </c>
      <c r="AO303" t="str">
        <f>HYPERLINK("https://transparencia.cidesi.mx/comprobantes/2021/CQ2100636 /C1MSG_004626849_BI_24745.xml")</f>
        <v>https://transparencia.cidesi.mx/comprobantes/2021/CQ2100636 /C1MSG_004626849_BI_24745.xml</v>
      </c>
      <c r="AP303" t="s">
        <v>713</v>
      </c>
      <c r="AQ303" t="s">
        <v>713</v>
      </c>
      <c r="AR303" t="s">
        <v>713</v>
      </c>
      <c r="AS303" t="s">
        <v>713</v>
      </c>
      <c r="AT303" s="1">
        <v>44421</v>
      </c>
      <c r="AU303" s="1">
        <v>44425</v>
      </c>
    </row>
    <row r="304" spans="1:47" x14ac:dyDescent="0.3">
      <c r="A304" t="s">
        <v>246</v>
      </c>
      <c r="B304" t="s">
        <v>182</v>
      </c>
      <c r="C304" t="s">
        <v>183</v>
      </c>
      <c r="D304">
        <v>534</v>
      </c>
      <c r="E304" t="s">
        <v>707</v>
      </c>
      <c r="F304" t="s">
        <v>304</v>
      </c>
      <c r="G304" t="s">
        <v>708</v>
      </c>
      <c r="H304" t="s">
        <v>709</v>
      </c>
      <c r="I304" t="s">
        <v>54</v>
      </c>
      <c r="J304" t="s">
        <v>710</v>
      </c>
      <c r="K304" t="s">
        <v>56</v>
      </c>
      <c r="L304">
        <v>0</v>
      </c>
      <c r="M304" t="s">
        <v>73</v>
      </c>
      <c r="N304">
        <v>0</v>
      </c>
      <c r="O304" t="s">
        <v>58</v>
      </c>
      <c r="P304" t="s">
        <v>59</v>
      </c>
      <c r="Q304" t="s">
        <v>60</v>
      </c>
      <c r="R304" t="s">
        <v>710</v>
      </c>
      <c r="S304" s="1">
        <v>44417</v>
      </c>
      <c r="T304" s="1">
        <v>44417</v>
      </c>
      <c r="U304">
        <v>37501</v>
      </c>
      <c r="V304" t="s">
        <v>61</v>
      </c>
      <c r="W304" t="s">
        <v>711</v>
      </c>
      <c r="X304" s="1">
        <v>44420</v>
      </c>
      <c r="Y304" t="s">
        <v>63</v>
      </c>
      <c r="Z304">
        <v>253.45</v>
      </c>
      <c r="AA304">
        <v>16</v>
      </c>
      <c r="AB304">
        <v>40.549999999999997</v>
      </c>
      <c r="AC304">
        <v>29.4</v>
      </c>
      <c r="AD304">
        <v>323.39999999999998</v>
      </c>
      <c r="AE304">
        <v>526.9</v>
      </c>
      <c r="AF304">
        <v>545</v>
      </c>
      <c r="AG304" t="s">
        <v>712</v>
      </c>
      <c r="AH304" t="s">
        <v>65</v>
      </c>
      <c r="AI304" t="s">
        <v>65</v>
      </c>
      <c r="AJ304" t="s">
        <v>66</v>
      </c>
      <c r="AK304" t="s">
        <v>66</v>
      </c>
      <c r="AL304" t="s">
        <v>66</v>
      </c>
      <c r="AM304" s="2" t="str">
        <f>HYPERLINK("https://transparencia.cidesi.mx/comprobantes/2021/CQ2100636 /C269547990.pdf")</f>
        <v>https://transparencia.cidesi.mx/comprobantes/2021/CQ2100636 /C269547990.pdf</v>
      </c>
      <c r="AN304" t="str">
        <f>HYPERLINK("https://transparencia.cidesi.mx/comprobantes/2021/CQ2100636 /C269547990.pdf")</f>
        <v>https://transparencia.cidesi.mx/comprobantes/2021/CQ2100636 /C269547990.pdf</v>
      </c>
      <c r="AO304" t="str">
        <f>HYPERLINK("https://transparencia.cidesi.mx/comprobantes/2021/CQ2100636 /C269547990.xml")</f>
        <v>https://transparencia.cidesi.mx/comprobantes/2021/CQ2100636 /C269547990.xml</v>
      </c>
      <c r="AP304" t="s">
        <v>713</v>
      </c>
      <c r="AQ304" t="s">
        <v>713</v>
      </c>
      <c r="AR304" t="s">
        <v>713</v>
      </c>
      <c r="AS304" t="s">
        <v>713</v>
      </c>
      <c r="AT304" s="1">
        <v>44421</v>
      </c>
      <c r="AU304" s="1">
        <v>44425</v>
      </c>
    </row>
    <row r="305" spans="1:47" x14ac:dyDescent="0.3">
      <c r="A305" t="s">
        <v>246</v>
      </c>
      <c r="B305" t="s">
        <v>182</v>
      </c>
      <c r="C305" t="s">
        <v>183</v>
      </c>
      <c r="D305">
        <v>534</v>
      </c>
      <c r="E305" t="s">
        <v>707</v>
      </c>
      <c r="F305" t="s">
        <v>304</v>
      </c>
      <c r="G305" t="s">
        <v>708</v>
      </c>
      <c r="H305" t="s">
        <v>714</v>
      </c>
      <c r="I305" t="s">
        <v>54</v>
      </c>
      <c r="J305" t="s">
        <v>715</v>
      </c>
      <c r="K305" t="s">
        <v>56</v>
      </c>
      <c r="L305">
        <v>0</v>
      </c>
      <c r="M305" t="s">
        <v>73</v>
      </c>
      <c r="N305">
        <v>0</v>
      </c>
      <c r="O305" t="s">
        <v>58</v>
      </c>
      <c r="P305" t="s">
        <v>59</v>
      </c>
      <c r="Q305" t="s">
        <v>60</v>
      </c>
      <c r="R305" t="s">
        <v>715</v>
      </c>
      <c r="S305" s="1">
        <v>44424</v>
      </c>
      <c r="T305" s="1">
        <v>44430</v>
      </c>
      <c r="U305">
        <v>37501</v>
      </c>
      <c r="V305" t="s">
        <v>61</v>
      </c>
      <c r="W305" t="s">
        <v>716</v>
      </c>
      <c r="X305" s="1">
        <v>44433</v>
      </c>
      <c r="Y305" t="s">
        <v>100</v>
      </c>
      <c r="Z305">
        <v>2769.75</v>
      </c>
      <c r="AA305">
        <v>16</v>
      </c>
      <c r="AB305">
        <v>430.25</v>
      </c>
      <c r="AC305">
        <v>0</v>
      </c>
      <c r="AD305">
        <v>3200</v>
      </c>
      <c r="AE305">
        <v>5244.35</v>
      </c>
      <c r="AF305">
        <v>7091</v>
      </c>
      <c r="AG305" t="s">
        <v>712</v>
      </c>
      <c r="AH305" t="s">
        <v>65</v>
      </c>
      <c r="AI305" t="s">
        <v>65</v>
      </c>
      <c r="AJ305" t="s">
        <v>66</v>
      </c>
      <c r="AK305" t="s">
        <v>66</v>
      </c>
      <c r="AL305" t="s">
        <v>66</v>
      </c>
      <c r="AM305" s="2" t="str">
        <f>HYPERLINK("https://transparencia.cidesi.mx/comprobantes/2021/CQ2100688 /C1B092 Angelina Estrada.pdf")</f>
        <v>https://transparencia.cidesi.mx/comprobantes/2021/CQ2100688 /C1B092 Angelina Estrada.pdf</v>
      </c>
      <c r="AN305" t="str">
        <f>HYPERLINK("https://transparencia.cidesi.mx/comprobantes/2021/CQ2100688 /C1B092 Angelina Estrada.pdf")</f>
        <v>https://transparencia.cidesi.mx/comprobantes/2021/CQ2100688 /C1B092 Angelina Estrada.pdf</v>
      </c>
      <c r="AO305" t="str">
        <f>HYPERLINK("https://transparencia.cidesi.mx/comprobantes/2021/CQ2100688 /C1B092 Angelina Estrada (2).xml")</f>
        <v>https://transparencia.cidesi.mx/comprobantes/2021/CQ2100688 /C1B092 Angelina Estrada (2).xml</v>
      </c>
      <c r="AP305" t="s">
        <v>717</v>
      </c>
      <c r="AQ305" t="s">
        <v>717</v>
      </c>
      <c r="AR305" t="s">
        <v>717</v>
      </c>
      <c r="AS305" t="s">
        <v>717</v>
      </c>
      <c r="AT305" s="1">
        <v>44438</v>
      </c>
      <c r="AU305" t="s">
        <v>73</v>
      </c>
    </row>
    <row r="306" spans="1:47" x14ac:dyDescent="0.3">
      <c r="A306" t="s">
        <v>246</v>
      </c>
      <c r="B306" t="s">
        <v>182</v>
      </c>
      <c r="C306" t="s">
        <v>183</v>
      </c>
      <c r="D306">
        <v>534</v>
      </c>
      <c r="E306" t="s">
        <v>707</v>
      </c>
      <c r="F306" t="s">
        <v>304</v>
      </c>
      <c r="G306" t="s">
        <v>708</v>
      </c>
      <c r="H306" t="s">
        <v>714</v>
      </c>
      <c r="I306" t="s">
        <v>54</v>
      </c>
      <c r="J306" t="s">
        <v>715</v>
      </c>
      <c r="K306" t="s">
        <v>56</v>
      </c>
      <c r="L306">
        <v>0</v>
      </c>
      <c r="M306" t="s">
        <v>73</v>
      </c>
      <c r="N306">
        <v>0</v>
      </c>
      <c r="O306" t="s">
        <v>58</v>
      </c>
      <c r="P306" t="s">
        <v>59</v>
      </c>
      <c r="Q306" t="s">
        <v>60</v>
      </c>
      <c r="R306" t="s">
        <v>715</v>
      </c>
      <c r="S306" s="1">
        <v>44424</v>
      </c>
      <c r="T306" s="1">
        <v>44430</v>
      </c>
      <c r="U306">
        <v>37501</v>
      </c>
      <c r="V306" t="s">
        <v>61</v>
      </c>
      <c r="W306" t="s">
        <v>716</v>
      </c>
      <c r="X306" s="1">
        <v>44433</v>
      </c>
      <c r="Y306" t="s">
        <v>100</v>
      </c>
      <c r="Z306">
        <v>112.07</v>
      </c>
      <c r="AA306">
        <v>16</v>
      </c>
      <c r="AB306">
        <v>17.93</v>
      </c>
      <c r="AC306">
        <v>13</v>
      </c>
      <c r="AD306">
        <v>143</v>
      </c>
      <c r="AE306">
        <v>5244.35</v>
      </c>
      <c r="AF306">
        <v>7091</v>
      </c>
      <c r="AG306" t="s">
        <v>712</v>
      </c>
      <c r="AH306" t="s">
        <v>66</v>
      </c>
      <c r="AI306" t="s">
        <v>65</v>
      </c>
      <c r="AJ306" t="s">
        <v>66</v>
      </c>
      <c r="AK306" t="s">
        <v>66</v>
      </c>
      <c r="AL306" t="s">
        <v>66</v>
      </c>
      <c r="AM306" s="2" t="str">
        <f>HYPERLINK("https://transparencia.cidesi.mx/comprobantes/2021/CQ2100688 /C2FTDA-4450980 (1).pdf")</f>
        <v>https://transparencia.cidesi.mx/comprobantes/2021/CQ2100688 /C2FTDA-4450980 (1).pdf</v>
      </c>
      <c r="AN306" t="str">
        <f>HYPERLINK("https://transparencia.cidesi.mx/comprobantes/2021/CQ2100688 /C2FTDA-4450980 (1).pdf")</f>
        <v>https://transparencia.cidesi.mx/comprobantes/2021/CQ2100688 /C2FTDA-4450980 (1).pdf</v>
      </c>
      <c r="AO306" t="str">
        <f>HYPERLINK("https://transparencia.cidesi.mx/comprobantes/2021/CQ2100688 /C2FTDA-4450980 (1).xml")</f>
        <v>https://transparencia.cidesi.mx/comprobantes/2021/CQ2100688 /C2FTDA-4450980 (1).xml</v>
      </c>
      <c r="AP306" t="s">
        <v>717</v>
      </c>
      <c r="AQ306" t="s">
        <v>717</v>
      </c>
      <c r="AR306" t="s">
        <v>717</v>
      </c>
      <c r="AS306" t="s">
        <v>717</v>
      </c>
      <c r="AT306" s="1">
        <v>44438</v>
      </c>
      <c r="AU306" t="s">
        <v>73</v>
      </c>
    </row>
    <row r="307" spans="1:47" x14ac:dyDescent="0.3">
      <c r="A307" t="s">
        <v>246</v>
      </c>
      <c r="B307" t="s">
        <v>182</v>
      </c>
      <c r="C307" t="s">
        <v>183</v>
      </c>
      <c r="D307">
        <v>534</v>
      </c>
      <c r="E307" t="s">
        <v>707</v>
      </c>
      <c r="F307" t="s">
        <v>304</v>
      </c>
      <c r="G307" t="s">
        <v>708</v>
      </c>
      <c r="H307" t="s">
        <v>714</v>
      </c>
      <c r="I307" t="s">
        <v>54</v>
      </c>
      <c r="J307" t="s">
        <v>715</v>
      </c>
      <c r="K307" t="s">
        <v>56</v>
      </c>
      <c r="L307">
        <v>0</v>
      </c>
      <c r="M307" t="s">
        <v>73</v>
      </c>
      <c r="N307">
        <v>0</v>
      </c>
      <c r="O307" t="s">
        <v>58</v>
      </c>
      <c r="P307" t="s">
        <v>59</v>
      </c>
      <c r="Q307" t="s">
        <v>60</v>
      </c>
      <c r="R307" t="s">
        <v>715</v>
      </c>
      <c r="S307" s="1">
        <v>44424</v>
      </c>
      <c r="T307" s="1">
        <v>44430</v>
      </c>
      <c r="U307">
        <v>37501</v>
      </c>
      <c r="V307" t="s">
        <v>61</v>
      </c>
      <c r="W307" t="s">
        <v>716</v>
      </c>
      <c r="X307" s="1">
        <v>44433</v>
      </c>
      <c r="Y307" t="s">
        <v>100</v>
      </c>
      <c r="Z307">
        <v>137.07</v>
      </c>
      <c r="AA307">
        <v>16</v>
      </c>
      <c r="AB307">
        <v>21.93</v>
      </c>
      <c r="AC307">
        <v>15.9</v>
      </c>
      <c r="AD307">
        <v>174.9</v>
      </c>
      <c r="AE307">
        <v>5244.35</v>
      </c>
      <c r="AF307">
        <v>7091</v>
      </c>
      <c r="AG307" t="s">
        <v>712</v>
      </c>
      <c r="AH307" t="s">
        <v>65</v>
      </c>
      <c r="AI307" t="s">
        <v>65</v>
      </c>
      <c r="AJ307" t="s">
        <v>66</v>
      </c>
      <c r="AK307" t="s">
        <v>66</v>
      </c>
      <c r="AL307" t="s">
        <v>66</v>
      </c>
      <c r="AM307" s="2" t="str">
        <f>HYPERLINK("https://transparencia.cidesi.mx/comprobantes/2021/CQ2100688 /C3MSG_004661910_BI_24791.pdf")</f>
        <v>https://transparencia.cidesi.mx/comprobantes/2021/CQ2100688 /C3MSG_004661910_BI_24791.pdf</v>
      </c>
      <c r="AN307" t="str">
        <f>HYPERLINK("https://transparencia.cidesi.mx/comprobantes/2021/CQ2100688 /C3MSG_004661910_BI_24791.pdf")</f>
        <v>https://transparencia.cidesi.mx/comprobantes/2021/CQ2100688 /C3MSG_004661910_BI_24791.pdf</v>
      </c>
      <c r="AO307" t="str">
        <f>HYPERLINK("https://transparencia.cidesi.mx/comprobantes/2021/CQ2100688 /C3MSG_004661910_BI_24791 (2).xml")</f>
        <v>https://transparencia.cidesi.mx/comprobantes/2021/CQ2100688 /C3MSG_004661910_BI_24791 (2).xml</v>
      </c>
      <c r="AP307" t="s">
        <v>717</v>
      </c>
      <c r="AQ307" t="s">
        <v>717</v>
      </c>
      <c r="AR307" t="s">
        <v>717</v>
      </c>
      <c r="AS307" t="s">
        <v>717</v>
      </c>
      <c r="AT307" s="1">
        <v>44438</v>
      </c>
      <c r="AU307" t="s">
        <v>73</v>
      </c>
    </row>
    <row r="308" spans="1:47" x14ac:dyDescent="0.3">
      <c r="A308" t="s">
        <v>246</v>
      </c>
      <c r="B308" t="s">
        <v>182</v>
      </c>
      <c r="C308" t="s">
        <v>183</v>
      </c>
      <c r="D308">
        <v>534</v>
      </c>
      <c r="E308" t="s">
        <v>707</v>
      </c>
      <c r="F308" t="s">
        <v>304</v>
      </c>
      <c r="G308" t="s">
        <v>708</v>
      </c>
      <c r="H308" t="s">
        <v>714</v>
      </c>
      <c r="I308" t="s">
        <v>54</v>
      </c>
      <c r="J308" t="s">
        <v>715</v>
      </c>
      <c r="K308" t="s">
        <v>56</v>
      </c>
      <c r="L308">
        <v>0</v>
      </c>
      <c r="M308" t="s">
        <v>73</v>
      </c>
      <c r="N308">
        <v>0</v>
      </c>
      <c r="O308" t="s">
        <v>58</v>
      </c>
      <c r="P308" t="s">
        <v>59</v>
      </c>
      <c r="Q308" t="s">
        <v>60</v>
      </c>
      <c r="R308" t="s">
        <v>715</v>
      </c>
      <c r="S308" s="1">
        <v>44424</v>
      </c>
      <c r="T308" s="1">
        <v>44430</v>
      </c>
      <c r="U308">
        <v>37501</v>
      </c>
      <c r="V308" t="s">
        <v>61</v>
      </c>
      <c r="W308" t="s">
        <v>716</v>
      </c>
      <c r="X308" s="1">
        <v>44433</v>
      </c>
      <c r="Y308" t="s">
        <v>100</v>
      </c>
      <c r="Z308">
        <v>138.79</v>
      </c>
      <c r="AA308">
        <v>16</v>
      </c>
      <c r="AB308">
        <v>22.21</v>
      </c>
      <c r="AC308">
        <v>16.100000000000001</v>
      </c>
      <c r="AD308">
        <v>177.1</v>
      </c>
      <c r="AE308">
        <v>5244.35</v>
      </c>
      <c r="AF308">
        <v>7091</v>
      </c>
      <c r="AG308" t="s">
        <v>712</v>
      </c>
      <c r="AH308" t="s">
        <v>66</v>
      </c>
      <c r="AI308" t="s">
        <v>65</v>
      </c>
      <c r="AJ308" t="s">
        <v>66</v>
      </c>
      <c r="AK308" t="s">
        <v>66</v>
      </c>
      <c r="AL308" t="s">
        <v>66</v>
      </c>
      <c r="AM308" s="2" t="str">
        <f>HYPERLINK("https://transparencia.cidesi.mx/comprobantes/2021/CQ2100688 /C4FTDA-4450991 (2).pdf")</f>
        <v>https://transparencia.cidesi.mx/comprobantes/2021/CQ2100688 /C4FTDA-4450991 (2).pdf</v>
      </c>
      <c r="AN308" t="str">
        <f>HYPERLINK("https://transparencia.cidesi.mx/comprobantes/2021/CQ2100688 /C4FTDA-4450991 (2).pdf")</f>
        <v>https://transparencia.cidesi.mx/comprobantes/2021/CQ2100688 /C4FTDA-4450991 (2).pdf</v>
      </c>
      <c r="AO308" t="str">
        <f>HYPERLINK("https://transparencia.cidesi.mx/comprobantes/2021/CQ2100688 /C4FTDA-4450991 (2).xml")</f>
        <v>https://transparencia.cidesi.mx/comprobantes/2021/CQ2100688 /C4FTDA-4450991 (2).xml</v>
      </c>
      <c r="AP308" t="s">
        <v>717</v>
      </c>
      <c r="AQ308" t="s">
        <v>717</v>
      </c>
      <c r="AR308" t="s">
        <v>717</v>
      </c>
      <c r="AS308" t="s">
        <v>717</v>
      </c>
      <c r="AT308" s="1">
        <v>44438</v>
      </c>
      <c r="AU308" t="s">
        <v>73</v>
      </c>
    </row>
    <row r="309" spans="1:47" x14ac:dyDescent="0.3">
      <c r="A309" t="s">
        <v>246</v>
      </c>
      <c r="B309" t="s">
        <v>182</v>
      </c>
      <c r="C309" t="s">
        <v>183</v>
      </c>
      <c r="D309">
        <v>534</v>
      </c>
      <c r="E309" t="s">
        <v>707</v>
      </c>
      <c r="F309" t="s">
        <v>304</v>
      </c>
      <c r="G309" t="s">
        <v>708</v>
      </c>
      <c r="H309" t="s">
        <v>714</v>
      </c>
      <c r="I309" t="s">
        <v>54</v>
      </c>
      <c r="J309" t="s">
        <v>715</v>
      </c>
      <c r="K309" t="s">
        <v>56</v>
      </c>
      <c r="L309">
        <v>0</v>
      </c>
      <c r="M309" t="s">
        <v>73</v>
      </c>
      <c r="N309">
        <v>0</v>
      </c>
      <c r="O309" t="s">
        <v>58</v>
      </c>
      <c r="P309" t="s">
        <v>59</v>
      </c>
      <c r="Q309" t="s">
        <v>60</v>
      </c>
      <c r="R309" t="s">
        <v>715</v>
      </c>
      <c r="S309" s="1">
        <v>44424</v>
      </c>
      <c r="T309" s="1">
        <v>44430</v>
      </c>
      <c r="U309">
        <v>37501</v>
      </c>
      <c r="V309" t="s">
        <v>61</v>
      </c>
      <c r="W309" t="s">
        <v>716</v>
      </c>
      <c r="X309" s="1">
        <v>44433</v>
      </c>
      <c r="Y309" t="s">
        <v>100</v>
      </c>
      <c r="Z309">
        <v>129.31</v>
      </c>
      <c r="AA309">
        <v>16</v>
      </c>
      <c r="AB309">
        <v>20.69</v>
      </c>
      <c r="AC309">
        <v>15</v>
      </c>
      <c r="AD309">
        <v>165</v>
      </c>
      <c r="AE309">
        <v>5244.35</v>
      </c>
      <c r="AF309">
        <v>7091</v>
      </c>
      <c r="AG309" t="s">
        <v>712</v>
      </c>
      <c r="AH309" t="s">
        <v>65</v>
      </c>
      <c r="AI309" t="s">
        <v>65</v>
      </c>
      <c r="AJ309" t="s">
        <v>66</v>
      </c>
      <c r="AK309" t="s">
        <v>66</v>
      </c>
      <c r="AL309" t="s">
        <v>66</v>
      </c>
      <c r="AM309" s="2" t="str">
        <f>HYPERLINK("https://transparencia.cidesi.mx/comprobantes/2021/CQ2100688 /C5GRL160519AE9_CYC_8567.pdf")</f>
        <v>https://transparencia.cidesi.mx/comprobantes/2021/CQ2100688 /C5GRL160519AE9_CYC_8567.pdf</v>
      </c>
      <c r="AN309" t="str">
        <f>HYPERLINK("https://transparencia.cidesi.mx/comprobantes/2021/CQ2100688 /C5GRL160519AE9_CYC_8567.pdf")</f>
        <v>https://transparencia.cidesi.mx/comprobantes/2021/CQ2100688 /C5GRL160519AE9_CYC_8567.pdf</v>
      </c>
      <c r="AO309" t="str">
        <f>HYPERLINK("https://transparencia.cidesi.mx/comprobantes/2021/CQ2100688 /C5GRL160519AE9_CYC_8567.xml")</f>
        <v>https://transparencia.cidesi.mx/comprobantes/2021/CQ2100688 /C5GRL160519AE9_CYC_8567.xml</v>
      </c>
      <c r="AP309" t="s">
        <v>717</v>
      </c>
      <c r="AQ309" t="s">
        <v>717</v>
      </c>
      <c r="AR309" t="s">
        <v>717</v>
      </c>
      <c r="AS309" t="s">
        <v>717</v>
      </c>
      <c r="AT309" s="1">
        <v>44438</v>
      </c>
      <c r="AU309" t="s">
        <v>73</v>
      </c>
    </row>
    <row r="310" spans="1:47" x14ac:dyDescent="0.3">
      <c r="A310" t="s">
        <v>246</v>
      </c>
      <c r="B310" t="s">
        <v>182</v>
      </c>
      <c r="C310" t="s">
        <v>183</v>
      </c>
      <c r="D310">
        <v>534</v>
      </c>
      <c r="E310" t="s">
        <v>707</v>
      </c>
      <c r="F310" t="s">
        <v>304</v>
      </c>
      <c r="G310" t="s">
        <v>708</v>
      </c>
      <c r="H310" t="s">
        <v>714</v>
      </c>
      <c r="I310" t="s">
        <v>54</v>
      </c>
      <c r="J310" t="s">
        <v>715</v>
      </c>
      <c r="K310" t="s">
        <v>56</v>
      </c>
      <c r="L310">
        <v>0</v>
      </c>
      <c r="M310" t="s">
        <v>73</v>
      </c>
      <c r="N310">
        <v>0</v>
      </c>
      <c r="O310" t="s">
        <v>58</v>
      </c>
      <c r="P310" t="s">
        <v>59</v>
      </c>
      <c r="Q310" t="s">
        <v>60</v>
      </c>
      <c r="R310" t="s">
        <v>715</v>
      </c>
      <c r="S310" s="1">
        <v>44424</v>
      </c>
      <c r="T310" s="1">
        <v>44430</v>
      </c>
      <c r="U310">
        <v>37501</v>
      </c>
      <c r="V310" t="s">
        <v>61</v>
      </c>
      <c r="W310" t="s">
        <v>716</v>
      </c>
      <c r="X310" s="1">
        <v>44433</v>
      </c>
      <c r="Y310" t="s">
        <v>100</v>
      </c>
      <c r="Z310">
        <v>100</v>
      </c>
      <c r="AA310">
        <v>16</v>
      </c>
      <c r="AB310">
        <v>16</v>
      </c>
      <c r="AC310">
        <v>11</v>
      </c>
      <c r="AD310">
        <v>127</v>
      </c>
      <c r="AE310">
        <v>5244.35</v>
      </c>
      <c r="AF310">
        <v>7091</v>
      </c>
      <c r="AG310" t="s">
        <v>712</v>
      </c>
      <c r="AH310" t="s">
        <v>65</v>
      </c>
      <c r="AI310" t="s">
        <v>65</v>
      </c>
      <c r="AJ310" t="s">
        <v>66</v>
      </c>
      <c r="AK310" t="s">
        <v>66</v>
      </c>
      <c r="AL310" t="s">
        <v>66</v>
      </c>
      <c r="AM310" s="2" t="str">
        <f>HYPERLINK("https://transparencia.cidesi.mx/comprobantes/2021/CQ2100688 /C6GRL160519AE9_CYC_8568.pdf")</f>
        <v>https://transparencia.cidesi.mx/comprobantes/2021/CQ2100688 /C6GRL160519AE9_CYC_8568.pdf</v>
      </c>
      <c r="AN310" t="str">
        <f>HYPERLINK("https://transparencia.cidesi.mx/comprobantes/2021/CQ2100688 /C6GRL160519AE9_CYC_8568.pdf")</f>
        <v>https://transparencia.cidesi.mx/comprobantes/2021/CQ2100688 /C6GRL160519AE9_CYC_8568.pdf</v>
      </c>
      <c r="AO310" t="str">
        <f>HYPERLINK("https://transparencia.cidesi.mx/comprobantes/2021/CQ2100688 /C6GRL160519AE9_CYC_8568.xml")</f>
        <v>https://transparencia.cidesi.mx/comprobantes/2021/CQ2100688 /C6GRL160519AE9_CYC_8568.xml</v>
      </c>
      <c r="AP310" t="s">
        <v>717</v>
      </c>
      <c r="AQ310" t="s">
        <v>717</v>
      </c>
      <c r="AR310" t="s">
        <v>717</v>
      </c>
      <c r="AS310" t="s">
        <v>717</v>
      </c>
      <c r="AT310" s="1">
        <v>44438</v>
      </c>
      <c r="AU310" t="s">
        <v>73</v>
      </c>
    </row>
    <row r="311" spans="1:47" x14ac:dyDescent="0.3">
      <c r="A311" t="s">
        <v>246</v>
      </c>
      <c r="B311" t="s">
        <v>182</v>
      </c>
      <c r="C311" t="s">
        <v>183</v>
      </c>
      <c r="D311">
        <v>534</v>
      </c>
      <c r="E311" t="s">
        <v>707</v>
      </c>
      <c r="F311" t="s">
        <v>304</v>
      </c>
      <c r="G311" t="s">
        <v>708</v>
      </c>
      <c r="H311" t="s">
        <v>714</v>
      </c>
      <c r="I311" t="s">
        <v>54</v>
      </c>
      <c r="J311" t="s">
        <v>715</v>
      </c>
      <c r="K311" t="s">
        <v>56</v>
      </c>
      <c r="L311">
        <v>0</v>
      </c>
      <c r="M311" t="s">
        <v>73</v>
      </c>
      <c r="N311">
        <v>0</v>
      </c>
      <c r="O311" t="s">
        <v>58</v>
      </c>
      <c r="P311" t="s">
        <v>59</v>
      </c>
      <c r="Q311" t="s">
        <v>60</v>
      </c>
      <c r="R311" t="s">
        <v>715</v>
      </c>
      <c r="S311" s="1">
        <v>44424</v>
      </c>
      <c r="T311" s="1">
        <v>44430</v>
      </c>
      <c r="U311">
        <v>37501</v>
      </c>
      <c r="V311" t="s">
        <v>61</v>
      </c>
      <c r="W311" t="s">
        <v>716</v>
      </c>
      <c r="X311" s="1">
        <v>44433</v>
      </c>
      <c r="Y311" t="s">
        <v>100</v>
      </c>
      <c r="Z311">
        <v>92.24</v>
      </c>
      <c r="AA311">
        <v>16</v>
      </c>
      <c r="AB311">
        <v>14.76</v>
      </c>
      <c r="AC311">
        <v>10</v>
      </c>
      <c r="AD311">
        <v>117</v>
      </c>
      <c r="AE311">
        <v>5244.35</v>
      </c>
      <c r="AF311">
        <v>7091</v>
      </c>
      <c r="AG311" t="s">
        <v>712</v>
      </c>
      <c r="AH311" t="s">
        <v>65</v>
      </c>
      <c r="AI311" t="s">
        <v>65</v>
      </c>
      <c r="AJ311" t="s">
        <v>66</v>
      </c>
      <c r="AK311" t="s">
        <v>66</v>
      </c>
      <c r="AL311" t="s">
        <v>66</v>
      </c>
      <c r="AM311" s="2" t="str">
        <f>HYPERLINK("https://transparencia.cidesi.mx/comprobantes/2021/CQ2100688 /C7GRL160519AE9_CYC_8566.pdf")</f>
        <v>https://transparencia.cidesi.mx/comprobantes/2021/CQ2100688 /C7GRL160519AE9_CYC_8566.pdf</v>
      </c>
      <c r="AN311" t="str">
        <f>HYPERLINK("https://transparencia.cidesi.mx/comprobantes/2021/CQ2100688 /C7GRL160519AE9_CYC_8566.pdf")</f>
        <v>https://transparencia.cidesi.mx/comprobantes/2021/CQ2100688 /C7GRL160519AE9_CYC_8566.pdf</v>
      </c>
      <c r="AO311" t="str">
        <f>HYPERLINK("https://transparencia.cidesi.mx/comprobantes/2021/CQ2100688 /C7GRL160519AE9_CYC_8566.xml")</f>
        <v>https://transparencia.cidesi.mx/comprobantes/2021/CQ2100688 /C7GRL160519AE9_CYC_8566.xml</v>
      </c>
      <c r="AP311" t="s">
        <v>717</v>
      </c>
      <c r="AQ311" t="s">
        <v>717</v>
      </c>
      <c r="AR311" t="s">
        <v>717</v>
      </c>
      <c r="AS311" t="s">
        <v>717</v>
      </c>
      <c r="AT311" s="1">
        <v>44438</v>
      </c>
      <c r="AU311" t="s">
        <v>73</v>
      </c>
    </row>
    <row r="312" spans="1:47" x14ac:dyDescent="0.3">
      <c r="A312" t="s">
        <v>246</v>
      </c>
      <c r="B312" t="s">
        <v>182</v>
      </c>
      <c r="C312" t="s">
        <v>183</v>
      </c>
      <c r="D312">
        <v>534</v>
      </c>
      <c r="E312" t="s">
        <v>707</v>
      </c>
      <c r="F312" t="s">
        <v>304</v>
      </c>
      <c r="G312" t="s">
        <v>708</v>
      </c>
      <c r="H312" t="s">
        <v>714</v>
      </c>
      <c r="I312" t="s">
        <v>54</v>
      </c>
      <c r="J312" t="s">
        <v>715</v>
      </c>
      <c r="K312" t="s">
        <v>56</v>
      </c>
      <c r="L312">
        <v>0</v>
      </c>
      <c r="M312" t="s">
        <v>73</v>
      </c>
      <c r="N312">
        <v>0</v>
      </c>
      <c r="O312" t="s">
        <v>58</v>
      </c>
      <c r="P312" t="s">
        <v>59</v>
      </c>
      <c r="Q312" t="s">
        <v>60</v>
      </c>
      <c r="R312" t="s">
        <v>715</v>
      </c>
      <c r="S312" s="1">
        <v>44424</v>
      </c>
      <c r="T312" s="1">
        <v>44430</v>
      </c>
      <c r="U312">
        <v>37501</v>
      </c>
      <c r="V312" t="s">
        <v>61</v>
      </c>
      <c r="W312" t="s">
        <v>716</v>
      </c>
      <c r="X312" s="1">
        <v>44433</v>
      </c>
      <c r="Y312" t="s">
        <v>100</v>
      </c>
      <c r="Z312">
        <v>94.83</v>
      </c>
      <c r="AA312">
        <v>16</v>
      </c>
      <c r="AB312">
        <v>15.17</v>
      </c>
      <c r="AC312">
        <v>11</v>
      </c>
      <c r="AD312">
        <v>121</v>
      </c>
      <c r="AE312">
        <v>5244.35</v>
      </c>
      <c r="AF312">
        <v>7091</v>
      </c>
      <c r="AG312" t="s">
        <v>712</v>
      </c>
      <c r="AH312" t="s">
        <v>65</v>
      </c>
      <c r="AI312" t="s">
        <v>65</v>
      </c>
      <c r="AJ312" t="s">
        <v>66</v>
      </c>
      <c r="AK312" t="s">
        <v>66</v>
      </c>
      <c r="AL312" t="s">
        <v>66</v>
      </c>
      <c r="AM312" s="2" t="str">
        <f>HYPERLINK("https://transparencia.cidesi.mx/comprobantes/2021/CQ2100688 /C8GRL160519AE9_CYC_8613.pdf")</f>
        <v>https://transparencia.cidesi.mx/comprobantes/2021/CQ2100688 /C8GRL160519AE9_CYC_8613.pdf</v>
      </c>
      <c r="AN312" t="str">
        <f>HYPERLINK("https://transparencia.cidesi.mx/comprobantes/2021/CQ2100688 /C8GRL160519AE9_CYC_8613.pdf")</f>
        <v>https://transparencia.cidesi.mx/comprobantes/2021/CQ2100688 /C8GRL160519AE9_CYC_8613.pdf</v>
      </c>
      <c r="AO312" t="str">
        <f>HYPERLINK("https://transparencia.cidesi.mx/comprobantes/2021/CQ2100688 /C8GRL160519AE9_CYC_8613.xml")</f>
        <v>https://transparencia.cidesi.mx/comprobantes/2021/CQ2100688 /C8GRL160519AE9_CYC_8613.xml</v>
      </c>
      <c r="AP312" t="s">
        <v>717</v>
      </c>
      <c r="AQ312" t="s">
        <v>717</v>
      </c>
      <c r="AR312" t="s">
        <v>717</v>
      </c>
      <c r="AS312" t="s">
        <v>717</v>
      </c>
      <c r="AT312" s="1">
        <v>44438</v>
      </c>
      <c r="AU312" t="s">
        <v>73</v>
      </c>
    </row>
    <row r="313" spans="1:47" x14ac:dyDescent="0.3">
      <c r="A313" t="s">
        <v>246</v>
      </c>
      <c r="B313" t="s">
        <v>182</v>
      </c>
      <c r="C313" t="s">
        <v>183</v>
      </c>
      <c r="D313">
        <v>534</v>
      </c>
      <c r="E313" t="s">
        <v>707</v>
      </c>
      <c r="F313" t="s">
        <v>304</v>
      </c>
      <c r="G313" t="s">
        <v>708</v>
      </c>
      <c r="H313" t="s">
        <v>714</v>
      </c>
      <c r="I313" t="s">
        <v>54</v>
      </c>
      <c r="J313" t="s">
        <v>715</v>
      </c>
      <c r="K313" t="s">
        <v>56</v>
      </c>
      <c r="L313">
        <v>0</v>
      </c>
      <c r="M313" t="s">
        <v>73</v>
      </c>
      <c r="N313">
        <v>0</v>
      </c>
      <c r="O313" t="s">
        <v>58</v>
      </c>
      <c r="P313" t="s">
        <v>59</v>
      </c>
      <c r="Q313" t="s">
        <v>60</v>
      </c>
      <c r="R313" t="s">
        <v>715</v>
      </c>
      <c r="S313" s="1">
        <v>44424</v>
      </c>
      <c r="T313" s="1">
        <v>44430</v>
      </c>
      <c r="U313">
        <v>37501</v>
      </c>
      <c r="V313" t="s">
        <v>61</v>
      </c>
      <c r="W313" t="s">
        <v>716</v>
      </c>
      <c r="X313" s="1">
        <v>44433</v>
      </c>
      <c r="Y313" t="s">
        <v>100</v>
      </c>
      <c r="Z313">
        <v>284.49</v>
      </c>
      <c r="AA313">
        <v>16</v>
      </c>
      <c r="AB313">
        <v>45.51</v>
      </c>
      <c r="AC313">
        <v>34</v>
      </c>
      <c r="AD313">
        <v>364</v>
      </c>
      <c r="AE313">
        <v>5244.35</v>
      </c>
      <c r="AF313">
        <v>7091</v>
      </c>
      <c r="AG313" t="s">
        <v>712</v>
      </c>
      <c r="AH313" t="s">
        <v>65</v>
      </c>
      <c r="AI313" t="s">
        <v>65</v>
      </c>
      <c r="AJ313" t="s">
        <v>66</v>
      </c>
      <c r="AK313" t="s">
        <v>66</v>
      </c>
      <c r="AL313" t="s">
        <v>66</v>
      </c>
      <c r="AM313" s="2" t="str">
        <f>HYPERLINK("https://transparencia.cidesi.mx/comprobantes/2021/CQ2100688 /C9D__AutoFactura_10139_Comprobantes_fc59.pdf")</f>
        <v>https://transparencia.cidesi.mx/comprobantes/2021/CQ2100688 /C9D__AutoFactura_10139_Comprobantes_fc59.pdf</v>
      </c>
      <c r="AN313" t="str">
        <f>HYPERLINK("https://transparencia.cidesi.mx/comprobantes/2021/CQ2100688 /C9D__AutoFactura_10139_Comprobantes_fc59.pdf")</f>
        <v>https://transparencia.cidesi.mx/comprobantes/2021/CQ2100688 /C9D__AutoFactura_10139_Comprobantes_fc59.pdf</v>
      </c>
      <c r="AO313" t="str">
        <f>HYPERLINK("https://transparencia.cidesi.mx/comprobantes/2021/CQ2100688 /C9D__AutoFactura_10139_Comprobantes_59_xml.xml")</f>
        <v>https://transparencia.cidesi.mx/comprobantes/2021/CQ2100688 /C9D__AutoFactura_10139_Comprobantes_59_xml.xml</v>
      </c>
      <c r="AP313" t="s">
        <v>717</v>
      </c>
      <c r="AQ313" t="s">
        <v>717</v>
      </c>
      <c r="AR313" t="s">
        <v>717</v>
      </c>
      <c r="AS313" t="s">
        <v>717</v>
      </c>
      <c r="AT313" s="1">
        <v>44438</v>
      </c>
      <c r="AU313" t="s">
        <v>73</v>
      </c>
    </row>
    <row r="314" spans="1:47" x14ac:dyDescent="0.3">
      <c r="A314" t="s">
        <v>246</v>
      </c>
      <c r="B314" t="s">
        <v>182</v>
      </c>
      <c r="C314" t="s">
        <v>183</v>
      </c>
      <c r="D314">
        <v>534</v>
      </c>
      <c r="E314" t="s">
        <v>707</v>
      </c>
      <c r="F314" t="s">
        <v>304</v>
      </c>
      <c r="G314" t="s">
        <v>708</v>
      </c>
      <c r="H314" t="s">
        <v>714</v>
      </c>
      <c r="I314" t="s">
        <v>54</v>
      </c>
      <c r="J314" t="s">
        <v>715</v>
      </c>
      <c r="K314" t="s">
        <v>56</v>
      </c>
      <c r="L314">
        <v>0</v>
      </c>
      <c r="M314" t="s">
        <v>73</v>
      </c>
      <c r="N314">
        <v>0</v>
      </c>
      <c r="O314" t="s">
        <v>58</v>
      </c>
      <c r="P314" t="s">
        <v>59</v>
      </c>
      <c r="Q314" t="s">
        <v>60</v>
      </c>
      <c r="R314" t="s">
        <v>715</v>
      </c>
      <c r="S314" s="1">
        <v>44424</v>
      </c>
      <c r="T314" s="1">
        <v>44430</v>
      </c>
      <c r="U314">
        <v>37501</v>
      </c>
      <c r="V314" t="s">
        <v>61</v>
      </c>
      <c r="W314" t="s">
        <v>716</v>
      </c>
      <c r="X314" s="1">
        <v>44433</v>
      </c>
      <c r="Y314" t="s">
        <v>100</v>
      </c>
      <c r="Z314">
        <v>240.09</v>
      </c>
      <c r="AA314">
        <v>16</v>
      </c>
      <c r="AB314">
        <v>38.409999999999997</v>
      </c>
      <c r="AC314">
        <v>27.85</v>
      </c>
      <c r="AD314">
        <v>306.35000000000002</v>
      </c>
      <c r="AE314">
        <v>5244.35</v>
      </c>
      <c r="AF314">
        <v>7091</v>
      </c>
      <c r="AG314" t="s">
        <v>712</v>
      </c>
      <c r="AH314" t="s">
        <v>65</v>
      </c>
      <c r="AI314" t="s">
        <v>65</v>
      </c>
      <c r="AJ314" t="s">
        <v>66</v>
      </c>
      <c r="AK314" t="s">
        <v>66</v>
      </c>
      <c r="AL314" t="s">
        <v>66</v>
      </c>
      <c r="AM314" s="2" t="str">
        <f>HYPERLINK("https://transparencia.cidesi.mx/comprobantes/2021/CQ2100688 /C10MSG_004669293_BI_24816 (1).pdf")</f>
        <v>https://transparencia.cidesi.mx/comprobantes/2021/CQ2100688 /C10MSG_004669293_BI_24816 (1).pdf</v>
      </c>
      <c r="AN314" t="str">
        <f>HYPERLINK("https://transparencia.cidesi.mx/comprobantes/2021/CQ2100688 /C10MSG_004669293_BI_24816 (1).pdf")</f>
        <v>https://transparencia.cidesi.mx/comprobantes/2021/CQ2100688 /C10MSG_004669293_BI_24816 (1).pdf</v>
      </c>
      <c r="AO314" t="str">
        <f>HYPERLINK("https://transparencia.cidesi.mx/comprobantes/2021/CQ2100688 /C10MSG_004669293_BI_24816 (1).xml")</f>
        <v>https://transparencia.cidesi.mx/comprobantes/2021/CQ2100688 /C10MSG_004669293_BI_24816 (1).xml</v>
      </c>
      <c r="AP314" t="s">
        <v>717</v>
      </c>
      <c r="AQ314" t="s">
        <v>717</v>
      </c>
      <c r="AR314" t="s">
        <v>717</v>
      </c>
      <c r="AS314" t="s">
        <v>717</v>
      </c>
      <c r="AT314" s="1">
        <v>44438</v>
      </c>
      <c r="AU314" t="s">
        <v>73</v>
      </c>
    </row>
    <row r="315" spans="1:47" x14ac:dyDescent="0.3">
      <c r="A315" t="s">
        <v>246</v>
      </c>
      <c r="B315" t="s">
        <v>182</v>
      </c>
      <c r="C315" t="s">
        <v>183</v>
      </c>
      <c r="D315">
        <v>534</v>
      </c>
      <c r="E315" t="s">
        <v>707</v>
      </c>
      <c r="F315" t="s">
        <v>304</v>
      </c>
      <c r="G315" t="s">
        <v>708</v>
      </c>
      <c r="H315" t="s">
        <v>714</v>
      </c>
      <c r="I315" t="s">
        <v>54</v>
      </c>
      <c r="J315" t="s">
        <v>715</v>
      </c>
      <c r="K315" t="s">
        <v>56</v>
      </c>
      <c r="L315">
        <v>0</v>
      </c>
      <c r="M315" t="s">
        <v>73</v>
      </c>
      <c r="N315">
        <v>0</v>
      </c>
      <c r="O315" t="s">
        <v>58</v>
      </c>
      <c r="P315" t="s">
        <v>59</v>
      </c>
      <c r="Q315" t="s">
        <v>60</v>
      </c>
      <c r="R315" t="s">
        <v>715</v>
      </c>
      <c r="S315" s="1">
        <v>44424</v>
      </c>
      <c r="T315" s="1">
        <v>44430</v>
      </c>
      <c r="U315">
        <v>37501</v>
      </c>
      <c r="V315" t="s">
        <v>61</v>
      </c>
      <c r="W315" t="s">
        <v>716</v>
      </c>
      <c r="X315" s="1">
        <v>44433</v>
      </c>
      <c r="Y315" t="s">
        <v>100</v>
      </c>
      <c r="Z315">
        <v>273.27999999999997</v>
      </c>
      <c r="AA315">
        <v>16</v>
      </c>
      <c r="AB315">
        <v>43.72</v>
      </c>
      <c r="AC315">
        <v>32</v>
      </c>
      <c r="AD315">
        <v>349</v>
      </c>
      <c r="AE315">
        <v>5244.35</v>
      </c>
      <c r="AF315">
        <v>7091</v>
      </c>
      <c r="AG315" t="s">
        <v>712</v>
      </c>
      <c r="AH315" t="s">
        <v>65</v>
      </c>
      <c r="AI315" t="s">
        <v>65</v>
      </c>
      <c r="AJ315" t="s">
        <v>66</v>
      </c>
      <c r="AK315" t="s">
        <v>66</v>
      </c>
      <c r="AL315" t="s">
        <v>66</v>
      </c>
      <c r="AM315" s="2" t="str">
        <f>HYPERLINK("https://transparencia.cidesi.mx/comprobantes/2021/CQ2100688 /C1169773166 finca.pdf")</f>
        <v>https://transparencia.cidesi.mx/comprobantes/2021/CQ2100688 /C1169773166 finca.pdf</v>
      </c>
      <c r="AN315" t="str">
        <f>HYPERLINK("https://transparencia.cidesi.mx/comprobantes/2021/CQ2100688 /C1169773166 finca.pdf")</f>
        <v>https://transparencia.cidesi.mx/comprobantes/2021/CQ2100688 /C1169773166 finca.pdf</v>
      </c>
      <c r="AO315" t="str">
        <f>HYPERLINK("https://transparencia.cidesi.mx/comprobantes/2021/CQ2100688 /C1169773166 (1).xml")</f>
        <v>https://transparencia.cidesi.mx/comprobantes/2021/CQ2100688 /C1169773166 (1).xml</v>
      </c>
      <c r="AP315" t="s">
        <v>717</v>
      </c>
      <c r="AQ315" t="s">
        <v>717</v>
      </c>
      <c r="AR315" t="s">
        <v>717</v>
      </c>
      <c r="AS315" t="s">
        <v>717</v>
      </c>
      <c r="AT315" s="1">
        <v>44438</v>
      </c>
      <c r="AU315" t="s">
        <v>73</v>
      </c>
    </row>
    <row r="316" spans="1:47" x14ac:dyDescent="0.3">
      <c r="A316" t="s">
        <v>246</v>
      </c>
      <c r="B316" t="s">
        <v>182</v>
      </c>
      <c r="C316" t="s">
        <v>183</v>
      </c>
      <c r="D316">
        <v>534</v>
      </c>
      <c r="E316" t="s">
        <v>707</v>
      </c>
      <c r="F316" t="s">
        <v>304</v>
      </c>
      <c r="G316" t="s">
        <v>708</v>
      </c>
      <c r="H316" t="s">
        <v>718</v>
      </c>
      <c r="I316" t="s">
        <v>54</v>
      </c>
      <c r="J316" t="s">
        <v>719</v>
      </c>
      <c r="K316" t="s">
        <v>56</v>
      </c>
      <c r="L316">
        <v>0</v>
      </c>
      <c r="M316" t="s">
        <v>73</v>
      </c>
      <c r="N316">
        <v>0</v>
      </c>
      <c r="O316" t="s">
        <v>58</v>
      </c>
      <c r="P316" t="s">
        <v>59</v>
      </c>
      <c r="Q316" t="s">
        <v>60</v>
      </c>
      <c r="R316" t="s">
        <v>719</v>
      </c>
      <c r="S316" s="1">
        <v>44445</v>
      </c>
      <c r="T316" s="1">
        <v>44445</v>
      </c>
      <c r="U316">
        <v>37501</v>
      </c>
      <c r="V316" t="s">
        <v>61</v>
      </c>
      <c r="W316" t="s">
        <v>720</v>
      </c>
      <c r="X316" s="1">
        <v>44447</v>
      </c>
      <c r="Y316" t="s">
        <v>63</v>
      </c>
      <c r="Z316">
        <v>108.62</v>
      </c>
      <c r="AA316">
        <v>16</v>
      </c>
      <c r="AB316">
        <v>17.38</v>
      </c>
      <c r="AC316">
        <v>12</v>
      </c>
      <c r="AD316">
        <v>138</v>
      </c>
      <c r="AE316">
        <v>545</v>
      </c>
      <c r="AF316">
        <v>545</v>
      </c>
      <c r="AG316" t="s">
        <v>712</v>
      </c>
      <c r="AH316" t="s">
        <v>65</v>
      </c>
      <c r="AI316" t="s">
        <v>65</v>
      </c>
      <c r="AJ316" t="s">
        <v>66</v>
      </c>
      <c r="AK316" t="s">
        <v>66</v>
      </c>
      <c r="AL316" t="s">
        <v>66</v>
      </c>
      <c r="AM316" s="2" t="str">
        <f>HYPERLINK("https://transparencia.cidesi.mx/comprobantes/2021/CQ2100758 /C2GRL160519AE9_CYC_9027.pdf")</f>
        <v>https://transparencia.cidesi.mx/comprobantes/2021/CQ2100758 /C2GRL160519AE9_CYC_9027.pdf</v>
      </c>
      <c r="AN316" t="str">
        <f>HYPERLINK("https://transparencia.cidesi.mx/comprobantes/2021/CQ2100758 /C2GRL160519AE9_CYC_9027.pdf")</f>
        <v>https://transparencia.cidesi.mx/comprobantes/2021/CQ2100758 /C2GRL160519AE9_CYC_9027.pdf</v>
      </c>
      <c r="AO316" t="str">
        <f>HYPERLINK("https://transparencia.cidesi.mx/comprobantes/2021/CQ2100758 /C2GRL160519AE9_CYC_9027.xml")</f>
        <v>https://transparencia.cidesi.mx/comprobantes/2021/CQ2100758 /C2GRL160519AE9_CYC_9027.xml</v>
      </c>
      <c r="AP316" t="s">
        <v>721</v>
      </c>
      <c r="AQ316" t="s">
        <v>721</v>
      </c>
      <c r="AR316" t="s">
        <v>721</v>
      </c>
      <c r="AS316" t="s">
        <v>721</v>
      </c>
      <c r="AT316" s="1">
        <v>44449</v>
      </c>
      <c r="AU316" s="1">
        <v>44452</v>
      </c>
    </row>
    <row r="317" spans="1:47" x14ac:dyDescent="0.3">
      <c r="A317" t="s">
        <v>246</v>
      </c>
      <c r="B317" t="s">
        <v>182</v>
      </c>
      <c r="C317" t="s">
        <v>183</v>
      </c>
      <c r="D317">
        <v>534</v>
      </c>
      <c r="E317" t="s">
        <v>707</v>
      </c>
      <c r="F317" t="s">
        <v>304</v>
      </c>
      <c r="G317" t="s">
        <v>708</v>
      </c>
      <c r="H317" t="s">
        <v>718</v>
      </c>
      <c r="I317" t="s">
        <v>54</v>
      </c>
      <c r="J317" t="s">
        <v>719</v>
      </c>
      <c r="K317" t="s">
        <v>56</v>
      </c>
      <c r="L317">
        <v>0</v>
      </c>
      <c r="M317" t="s">
        <v>73</v>
      </c>
      <c r="N317">
        <v>0</v>
      </c>
      <c r="O317" t="s">
        <v>58</v>
      </c>
      <c r="P317" t="s">
        <v>59</v>
      </c>
      <c r="Q317" t="s">
        <v>60</v>
      </c>
      <c r="R317" t="s">
        <v>719</v>
      </c>
      <c r="S317" s="1">
        <v>44445</v>
      </c>
      <c r="T317" s="1">
        <v>44445</v>
      </c>
      <c r="U317">
        <v>37501</v>
      </c>
      <c r="V317" t="s">
        <v>61</v>
      </c>
      <c r="W317" t="s">
        <v>720</v>
      </c>
      <c r="X317" s="1">
        <v>44447</v>
      </c>
      <c r="Y317" t="s">
        <v>63</v>
      </c>
      <c r="Z317">
        <v>347.14</v>
      </c>
      <c r="AA317">
        <v>16</v>
      </c>
      <c r="AB317">
        <v>59.86</v>
      </c>
      <c r="AC317">
        <v>0</v>
      </c>
      <c r="AD317">
        <v>407</v>
      </c>
      <c r="AE317">
        <v>545</v>
      </c>
      <c r="AF317">
        <v>545</v>
      </c>
      <c r="AG317" t="s">
        <v>712</v>
      </c>
      <c r="AH317" t="s">
        <v>65</v>
      </c>
      <c r="AI317" t="s">
        <v>65</v>
      </c>
      <c r="AJ317" t="s">
        <v>66</v>
      </c>
      <c r="AK317" t="s">
        <v>66</v>
      </c>
      <c r="AL317" t="s">
        <v>66</v>
      </c>
      <c r="AM317" s="2" t="str">
        <f>HYPERLINK("https://transparencia.cidesi.mx/comprobantes/2021/CQ2100758 /C3TOKS.pdf")</f>
        <v>https://transparencia.cidesi.mx/comprobantes/2021/CQ2100758 /C3TOKS.pdf</v>
      </c>
      <c r="AN317" t="str">
        <f>HYPERLINK("https://transparencia.cidesi.mx/comprobantes/2021/CQ2100758 /C3TOKS.pdf")</f>
        <v>https://transparencia.cidesi.mx/comprobantes/2021/CQ2100758 /C3TOKS.pdf</v>
      </c>
      <c r="AO317" t="str">
        <f>HYPERLINK("https://transparencia.cidesi.mx/comprobantes/2021/CQ2100758 /C3CID840309UG7_TIWEBDF6555406.xml")</f>
        <v>https://transparencia.cidesi.mx/comprobantes/2021/CQ2100758 /C3CID840309UG7_TIWEBDF6555406.xml</v>
      </c>
      <c r="AP317" t="s">
        <v>721</v>
      </c>
      <c r="AQ317" t="s">
        <v>721</v>
      </c>
      <c r="AR317" t="s">
        <v>721</v>
      </c>
      <c r="AS317" t="s">
        <v>721</v>
      </c>
      <c r="AT317" s="1">
        <v>44449</v>
      </c>
      <c r="AU317" s="1">
        <v>44452</v>
      </c>
    </row>
    <row r="318" spans="1:47" x14ac:dyDescent="0.3">
      <c r="A318" t="s">
        <v>246</v>
      </c>
      <c r="B318" t="s">
        <v>182</v>
      </c>
      <c r="C318" t="s">
        <v>183</v>
      </c>
      <c r="D318">
        <v>545</v>
      </c>
      <c r="E318" t="s">
        <v>722</v>
      </c>
      <c r="F318" t="s">
        <v>723</v>
      </c>
      <c r="G318" t="s">
        <v>724</v>
      </c>
      <c r="H318" t="s">
        <v>725</v>
      </c>
      <c r="I318" t="s">
        <v>54</v>
      </c>
      <c r="J318" t="s">
        <v>726</v>
      </c>
      <c r="K318" t="s">
        <v>56</v>
      </c>
      <c r="L318">
        <v>0</v>
      </c>
      <c r="M318" t="s">
        <v>73</v>
      </c>
      <c r="N318">
        <v>0</v>
      </c>
      <c r="O318" t="s">
        <v>58</v>
      </c>
      <c r="P318" t="s">
        <v>59</v>
      </c>
      <c r="Q318" t="s">
        <v>60</v>
      </c>
      <c r="R318" t="s">
        <v>726</v>
      </c>
      <c r="S318" s="1">
        <v>44424</v>
      </c>
      <c r="T318" s="1">
        <v>44430</v>
      </c>
      <c r="U318">
        <v>37501</v>
      </c>
      <c r="V318" t="s">
        <v>61</v>
      </c>
      <c r="W318" t="s">
        <v>727</v>
      </c>
      <c r="X318" s="1">
        <v>44432</v>
      </c>
      <c r="Y318" t="s">
        <v>63</v>
      </c>
      <c r="Z318">
        <v>164.66</v>
      </c>
      <c r="AA318">
        <v>16</v>
      </c>
      <c r="AB318">
        <v>26.34</v>
      </c>
      <c r="AC318">
        <v>20</v>
      </c>
      <c r="AD318">
        <v>211</v>
      </c>
      <c r="AE318">
        <v>5180.6000000000004</v>
      </c>
      <c r="AF318">
        <v>7091</v>
      </c>
      <c r="AG318" t="s">
        <v>728</v>
      </c>
      <c r="AH318" t="s">
        <v>65</v>
      </c>
      <c r="AI318" t="s">
        <v>65</v>
      </c>
      <c r="AJ318" t="s">
        <v>66</v>
      </c>
      <c r="AK318" t="s">
        <v>66</v>
      </c>
      <c r="AL318" t="s">
        <v>66</v>
      </c>
      <c r="AM318" s="2" t="str">
        <f>HYPERLINK("https://transparencia.cidesi.mx/comprobantes/2021/CQ2100686 /C164.pdf")</f>
        <v>https://transparencia.cidesi.mx/comprobantes/2021/CQ2100686 /C164.pdf</v>
      </c>
      <c r="AN318" t="str">
        <f>HYPERLINK("https://transparencia.cidesi.mx/comprobantes/2021/CQ2100686 /C164.pdf")</f>
        <v>https://transparencia.cidesi.mx/comprobantes/2021/CQ2100686 /C164.pdf</v>
      </c>
      <c r="AO318" t="str">
        <f>HYPERLINK("https://transparencia.cidesi.mx/comprobantes/2021/CQ2100686 /C164.xml")</f>
        <v>https://transparencia.cidesi.mx/comprobantes/2021/CQ2100686 /C164.xml</v>
      </c>
      <c r="AP318" t="s">
        <v>729</v>
      </c>
      <c r="AQ318" t="s">
        <v>730</v>
      </c>
      <c r="AR318" t="s">
        <v>731</v>
      </c>
      <c r="AS318" t="s">
        <v>732</v>
      </c>
      <c r="AT318" s="1">
        <v>44438</v>
      </c>
      <c r="AU318" s="1">
        <v>44438</v>
      </c>
    </row>
    <row r="319" spans="1:47" x14ac:dyDescent="0.3">
      <c r="A319" t="s">
        <v>246</v>
      </c>
      <c r="B319" t="s">
        <v>182</v>
      </c>
      <c r="C319" t="s">
        <v>183</v>
      </c>
      <c r="D319">
        <v>545</v>
      </c>
      <c r="E319" t="s">
        <v>722</v>
      </c>
      <c r="F319" t="s">
        <v>723</v>
      </c>
      <c r="G319" t="s">
        <v>724</v>
      </c>
      <c r="H319" t="s">
        <v>725</v>
      </c>
      <c r="I319" t="s">
        <v>54</v>
      </c>
      <c r="J319" t="s">
        <v>726</v>
      </c>
      <c r="K319" t="s">
        <v>56</v>
      </c>
      <c r="L319">
        <v>0</v>
      </c>
      <c r="M319" t="s">
        <v>73</v>
      </c>
      <c r="N319">
        <v>0</v>
      </c>
      <c r="O319" t="s">
        <v>58</v>
      </c>
      <c r="P319" t="s">
        <v>59</v>
      </c>
      <c r="Q319" t="s">
        <v>60</v>
      </c>
      <c r="R319" t="s">
        <v>726</v>
      </c>
      <c r="S319" s="1">
        <v>44424</v>
      </c>
      <c r="T319" s="1">
        <v>44430</v>
      </c>
      <c r="U319">
        <v>37501</v>
      </c>
      <c r="V319" t="s">
        <v>61</v>
      </c>
      <c r="W319" t="s">
        <v>727</v>
      </c>
      <c r="X319" s="1">
        <v>44432</v>
      </c>
      <c r="Y319" t="s">
        <v>63</v>
      </c>
      <c r="Z319">
        <v>222.41</v>
      </c>
      <c r="AA319">
        <v>16</v>
      </c>
      <c r="AB319">
        <v>35.590000000000003</v>
      </c>
      <c r="AC319">
        <v>26</v>
      </c>
      <c r="AD319">
        <v>284</v>
      </c>
      <c r="AE319">
        <v>5180.6000000000004</v>
      </c>
      <c r="AF319">
        <v>7091</v>
      </c>
      <c r="AG319" t="s">
        <v>728</v>
      </c>
      <c r="AH319" t="s">
        <v>65</v>
      </c>
      <c r="AI319" t="s">
        <v>65</v>
      </c>
      <c r="AJ319" t="s">
        <v>66</v>
      </c>
      <c r="AK319" t="s">
        <v>66</v>
      </c>
      <c r="AL319" t="s">
        <v>66</v>
      </c>
      <c r="AM319" s="2" t="str">
        <f>HYPERLINK("https://transparencia.cidesi.mx/comprobantes/2021/CQ2100686 /C269786782.pdf")</f>
        <v>https://transparencia.cidesi.mx/comprobantes/2021/CQ2100686 /C269786782.pdf</v>
      </c>
      <c r="AN319" t="str">
        <f>HYPERLINK("https://transparencia.cidesi.mx/comprobantes/2021/CQ2100686 /C269786782.pdf")</f>
        <v>https://transparencia.cidesi.mx/comprobantes/2021/CQ2100686 /C269786782.pdf</v>
      </c>
      <c r="AO319" t="str">
        <f>HYPERLINK("https://transparencia.cidesi.mx/comprobantes/2021/CQ2100686 /C269786782.xml")</f>
        <v>https://transparencia.cidesi.mx/comprobantes/2021/CQ2100686 /C269786782.xml</v>
      </c>
      <c r="AP319" t="s">
        <v>729</v>
      </c>
      <c r="AQ319" t="s">
        <v>730</v>
      </c>
      <c r="AR319" t="s">
        <v>731</v>
      </c>
      <c r="AS319" t="s">
        <v>732</v>
      </c>
      <c r="AT319" s="1">
        <v>44438</v>
      </c>
      <c r="AU319" s="1">
        <v>44438</v>
      </c>
    </row>
    <row r="320" spans="1:47" x14ac:dyDescent="0.3">
      <c r="A320" t="s">
        <v>246</v>
      </c>
      <c r="B320" t="s">
        <v>182</v>
      </c>
      <c r="C320" t="s">
        <v>183</v>
      </c>
      <c r="D320">
        <v>545</v>
      </c>
      <c r="E320" t="s">
        <v>722</v>
      </c>
      <c r="F320" t="s">
        <v>723</v>
      </c>
      <c r="G320" t="s">
        <v>724</v>
      </c>
      <c r="H320" t="s">
        <v>725</v>
      </c>
      <c r="I320" t="s">
        <v>54</v>
      </c>
      <c r="J320" t="s">
        <v>726</v>
      </c>
      <c r="K320" t="s">
        <v>56</v>
      </c>
      <c r="L320">
        <v>0</v>
      </c>
      <c r="M320" t="s">
        <v>73</v>
      </c>
      <c r="N320">
        <v>0</v>
      </c>
      <c r="O320" t="s">
        <v>58</v>
      </c>
      <c r="P320" t="s">
        <v>59</v>
      </c>
      <c r="Q320" t="s">
        <v>60</v>
      </c>
      <c r="R320" t="s">
        <v>726</v>
      </c>
      <c r="S320" s="1">
        <v>44424</v>
      </c>
      <c r="T320" s="1">
        <v>44430</v>
      </c>
      <c r="U320">
        <v>37501</v>
      </c>
      <c r="V320" t="s">
        <v>61</v>
      </c>
      <c r="W320" t="s">
        <v>727</v>
      </c>
      <c r="X320" s="1">
        <v>44432</v>
      </c>
      <c r="Y320" t="s">
        <v>63</v>
      </c>
      <c r="Z320">
        <v>237.93</v>
      </c>
      <c r="AA320">
        <v>16</v>
      </c>
      <c r="AB320">
        <v>38.07</v>
      </c>
      <c r="AC320">
        <v>27.6</v>
      </c>
      <c r="AD320">
        <v>303.60000000000002</v>
      </c>
      <c r="AE320">
        <v>5180.6000000000004</v>
      </c>
      <c r="AF320">
        <v>7091</v>
      </c>
      <c r="AG320" t="s">
        <v>728</v>
      </c>
      <c r="AH320" t="s">
        <v>65</v>
      </c>
      <c r="AI320" t="s">
        <v>65</v>
      </c>
      <c r="AJ320" t="s">
        <v>66</v>
      </c>
      <c r="AK320" t="s">
        <v>66</v>
      </c>
      <c r="AL320" t="s">
        <v>66</v>
      </c>
      <c r="AM320" s="2" t="str">
        <f>HYPERLINK("https://transparencia.cidesi.mx/comprobantes/2021/CQ2100686 /C3MSG_004670406_BI_24820.pdf")</f>
        <v>https://transparencia.cidesi.mx/comprobantes/2021/CQ2100686 /C3MSG_004670406_BI_24820.pdf</v>
      </c>
      <c r="AN320" t="str">
        <f>HYPERLINK("https://transparencia.cidesi.mx/comprobantes/2021/CQ2100686 /C3MSG_004670406_BI_24820.pdf")</f>
        <v>https://transparencia.cidesi.mx/comprobantes/2021/CQ2100686 /C3MSG_004670406_BI_24820.pdf</v>
      </c>
      <c r="AO320" t="str">
        <f>HYPERLINK("https://transparencia.cidesi.mx/comprobantes/2021/CQ2100686 /C3MSG_004670406_BI_24820.xml")</f>
        <v>https://transparencia.cidesi.mx/comprobantes/2021/CQ2100686 /C3MSG_004670406_BI_24820.xml</v>
      </c>
      <c r="AP320" t="s">
        <v>729</v>
      </c>
      <c r="AQ320" t="s">
        <v>730</v>
      </c>
      <c r="AR320" t="s">
        <v>731</v>
      </c>
      <c r="AS320" t="s">
        <v>732</v>
      </c>
      <c r="AT320" s="1">
        <v>44438</v>
      </c>
      <c r="AU320" s="1">
        <v>44438</v>
      </c>
    </row>
    <row r="321" spans="1:47" x14ac:dyDescent="0.3">
      <c r="A321" t="s">
        <v>246</v>
      </c>
      <c r="B321" t="s">
        <v>182</v>
      </c>
      <c r="C321" t="s">
        <v>183</v>
      </c>
      <c r="D321">
        <v>545</v>
      </c>
      <c r="E321" t="s">
        <v>722</v>
      </c>
      <c r="F321" t="s">
        <v>723</v>
      </c>
      <c r="G321" t="s">
        <v>724</v>
      </c>
      <c r="H321" t="s">
        <v>725</v>
      </c>
      <c r="I321" t="s">
        <v>54</v>
      </c>
      <c r="J321" t="s">
        <v>726</v>
      </c>
      <c r="K321" t="s">
        <v>56</v>
      </c>
      <c r="L321">
        <v>0</v>
      </c>
      <c r="M321" t="s">
        <v>73</v>
      </c>
      <c r="N321">
        <v>0</v>
      </c>
      <c r="O321" t="s">
        <v>58</v>
      </c>
      <c r="P321" t="s">
        <v>59</v>
      </c>
      <c r="Q321" t="s">
        <v>60</v>
      </c>
      <c r="R321" t="s">
        <v>726</v>
      </c>
      <c r="S321" s="1">
        <v>44424</v>
      </c>
      <c r="T321" s="1">
        <v>44430</v>
      </c>
      <c r="U321">
        <v>37501</v>
      </c>
      <c r="V321" t="s">
        <v>61</v>
      </c>
      <c r="W321" t="s">
        <v>727</v>
      </c>
      <c r="X321" s="1">
        <v>44432</v>
      </c>
      <c r="Y321" t="s">
        <v>63</v>
      </c>
      <c r="Z321">
        <v>104.31</v>
      </c>
      <c r="AA321">
        <v>16</v>
      </c>
      <c r="AB321">
        <v>16.690000000000001</v>
      </c>
      <c r="AC321">
        <v>12</v>
      </c>
      <c r="AD321">
        <v>133</v>
      </c>
      <c r="AE321">
        <v>5180.6000000000004</v>
      </c>
      <c r="AF321">
        <v>7091</v>
      </c>
      <c r="AG321" t="s">
        <v>728</v>
      </c>
      <c r="AH321" t="s">
        <v>65</v>
      </c>
      <c r="AI321" t="s">
        <v>65</v>
      </c>
      <c r="AJ321" t="s">
        <v>66</v>
      </c>
      <c r="AK321" t="s">
        <v>66</v>
      </c>
      <c r="AL321" t="s">
        <v>66</v>
      </c>
      <c r="AM321" s="2" t="str">
        <f>HYPERLINK("https://transparencia.cidesi.mx/comprobantes/2021/CQ2100686 /C4CYC_8548.pdf")</f>
        <v>https://transparencia.cidesi.mx/comprobantes/2021/CQ2100686 /C4CYC_8548.pdf</v>
      </c>
      <c r="AN321" t="str">
        <f>HYPERLINK("https://transparencia.cidesi.mx/comprobantes/2021/CQ2100686 /C4CYC_8548.pdf")</f>
        <v>https://transparencia.cidesi.mx/comprobantes/2021/CQ2100686 /C4CYC_8548.pdf</v>
      </c>
      <c r="AO321" t="str">
        <f>HYPERLINK("https://transparencia.cidesi.mx/comprobantes/2021/CQ2100686 /C4CYC_8548.xml")</f>
        <v>https://transparencia.cidesi.mx/comprobantes/2021/CQ2100686 /C4CYC_8548.xml</v>
      </c>
      <c r="AP321" t="s">
        <v>729</v>
      </c>
      <c r="AQ321" t="s">
        <v>730</v>
      </c>
      <c r="AR321" t="s">
        <v>731</v>
      </c>
      <c r="AS321" t="s">
        <v>732</v>
      </c>
      <c r="AT321" s="1">
        <v>44438</v>
      </c>
      <c r="AU321" s="1">
        <v>44438</v>
      </c>
    </row>
    <row r="322" spans="1:47" x14ac:dyDescent="0.3">
      <c r="A322" t="s">
        <v>246</v>
      </c>
      <c r="B322" t="s">
        <v>182</v>
      </c>
      <c r="C322" t="s">
        <v>183</v>
      </c>
      <c r="D322">
        <v>545</v>
      </c>
      <c r="E322" t="s">
        <v>722</v>
      </c>
      <c r="F322" t="s">
        <v>723</v>
      </c>
      <c r="G322" t="s">
        <v>724</v>
      </c>
      <c r="H322" t="s">
        <v>725</v>
      </c>
      <c r="I322" t="s">
        <v>54</v>
      </c>
      <c r="J322" t="s">
        <v>726</v>
      </c>
      <c r="K322" t="s">
        <v>56</v>
      </c>
      <c r="L322">
        <v>0</v>
      </c>
      <c r="M322" t="s">
        <v>73</v>
      </c>
      <c r="N322">
        <v>0</v>
      </c>
      <c r="O322" t="s">
        <v>58</v>
      </c>
      <c r="P322" t="s">
        <v>59</v>
      </c>
      <c r="Q322" t="s">
        <v>60</v>
      </c>
      <c r="R322" t="s">
        <v>726</v>
      </c>
      <c r="S322" s="1">
        <v>44424</v>
      </c>
      <c r="T322" s="1">
        <v>44430</v>
      </c>
      <c r="U322">
        <v>37501</v>
      </c>
      <c r="V322" t="s">
        <v>61</v>
      </c>
      <c r="W322" t="s">
        <v>727</v>
      </c>
      <c r="X322" s="1">
        <v>44432</v>
      </c>
      <c r="Y322" t="s">
        <v>63</v>
      </c>
      <c r="Z322">
        <v>168.1</v>
      </c>
      <c r="AA322">
        <v>16</v>
      </c>
      <c r="AB322">
        <v>26.9</v>
      </c>
      <c r="AC322">
        <v>0</v>
      </c>
      <c r="AD322">
        <v>195</v>
      </c>
      <c r="AE322">
        <v>5180.6000000000004</v>
      </c>
      <c r="AF322">
        <v>7091</v>
      </c>
      <c r="AG322" t="s">
        <v>728</v>
      </c>
      <c r="AH322" t="s">
        <v>65</v>
      </c>
      <c r="AI322" t="s">
        <v>65</v>
      </c>
      <c r="AJ322" t="s">
        <v>66</v>
      </c>
      <c r="AK322" t="s">
        <v>66</v>
      </c>
      <c r="AL322" t="s">
        <v>66</v>
      </c>
      <c r="AM322" s="2" t="str">
        <f>HYPERLINK("https://transparencia.cidesi.mx/comprobantes/2021/CQ2100686 /C5FTDA-4448441.pdf")</f>
        <v>https://transparencia.cidesi.mx/comprobantes/2021/CQ2100686 /C5FTDA-4448441.pdf</v>
      </c>
      <c r="AN322" t="str">
        <f>HYPERLINK("https://transparencia.cidesi.mx/comprobantes/2021/CQ2100686 /C5FTDA-4448441.pdf")</f>
        <v>https://transparencia.cidesi.mx/comprobantes/2021/CQ2100686 /C5FTDA-4448441.pdf</v>
      </c>
      <c r="AO322" t="str">
        <f>HYPERLINK("https://transparencia.cidesi.mx/comprobantes/2021/CQ2100686 /C5FTDA-4448441.xml")</f>
        <v>https://transparencia.cidesi.mx/comprobantes/2021/CQ2100686 /C5FTDA-4448441.xml</v>
      </c>
      <c r="AP322" t="s">
        <v>729</v>
      </c>
      <c r="AQ322" t="s">
        <v>730</v>
      </c>
      <c r="AR322" t="s">
        <v>731</v>
      </c>
      <c r="AS322" t="s">
        <v>732</v>
      </c>
      <c r="AT322" s="1">
        <v>44438</v>
      </c>
      <c r="AU322" s="1">
        <v>44438</v>
      </c>
    </row>
    <row r="323" spans="1:47" x14ac:dyDescent="0.3">
      <c r="A323" t="s">
        <v>246</v>
      </c>
      <c r="B323" t="s">
        <v>182</v>
      </c>
      <c r="C323" t="s">
        <v>183</v>
      </c>
      <c r="D323">
        <v>545</v>
      </c>
      <c r="E323" t="s">
        <v>722</v>
      </c>
      <c r="F323" t="s">
        <v>723</v>
      </c>
      <c r="G323" t="s">
        <v>724</v>
      </c>
      <c r="H323" t="s">
        <v>725</v>
      </c>
      <c r="I323" t="s">
        <v>54</v>
      </c>
      <c r="J323" t="s">
        <v>726</v>
      </c>
      <c r="K323" t="s">
        <v>56</v>
      </c>
      <c r="L323">
        <v>0</v>
      </c>
      <c r="M323" t="s">
        <v>73</v>
      </c>
      <c r="N323">
        <v>0</v>
      </c>
      <c r="O323" t="s">
        <v>58</v>
      </c>
      <c r="P323" t="s">
        <v>59</v>
      </c>
      <c r="Q323" t="s">
        <v>60</v>
      </c>
      <c r="R323" t="s">
        <v>726</v>
      </c>
      <c r="S323" s="1">
        <v>44424</v>
      </c>
      <c r="T323" s="1">
        <v>44430</v>
      </c>
      <c r="U323">
        <v>37501</v>
      </c>
      <c r="V323" t="s">
        <v>61</v>
      </c>
      <c r="W323" t="s">
        <v>727</v>
      </c>
      <c r="X323" s="1">
        <v>44432</v>
      </c>
      <c r="Y323" t="s">
        <v>63</v>
      </c>
      <c r="Z323">
        <v>163.79</v>
      </c>
      <c r="AA323">
        <v>16</v>
      </c>
      <c r="AB323">
        <v>26.21</v>
      </c>
      <c r="AC323">
        <v>0</v>
      </c>
      <c r="AD323">
        <v>190</v>
      </c>
      <c r="AE323">
        <v>5180.6000000000004</v>
      </c>
      <c r="AF323">
        <v>7091</v>
      </c>
      <c r="AG323" t="s">
        <v>728</v>
      </c>
      <c r="AH323" t="s">
        <v>65</v>
      </c>
      <c r="AI323" t="s">
        <v>65</v>
      </c>
      <c r="AJ323" t="s">
        <v>66</v>
      </c>
      <c r="AK323" t="s">
        <v>66</v>
      </c>
      <c r="AL323" t="s">
        <v>66</v>
      </c>
      <c r="AM323" s="2" t="str">
        <f>HYPERLINK("https://transparencia.cidesi.mx/comprobantes/2021/CQ2100686 /C6FTDA-4448446.pdf")</f>
        <v>https://transparencia.cidesi.mx/comprobantes/2021/CQ2100686 /C6FTDA-4448446.pdf</v>
      </c>
      <c r="AN323" t="str">
        <f>HYPERLINK("https://transparencia.cidesi.mx/comprobantes/2021/CQ2100686 /C6FTDA-4448446.pdf")</f>
        <v>https://transparencia.cidesi.mx/comprobantes/2021/CQ2100686 /C6FTDA-4448446.pdf</v>
      </c>
      <c r="AO323" t="str">
        <f>HYPERLINK("https://transparencia.cidesi.mx/comprobantes/2021/CQ2100686 /C6FTDA-4448446.xml")</f>
        <v>https://transparencia.cidesi.mx/comprobantes/2021/CQ2100686 /C6FTDA-4448446.xml</v>
      </c>
      <c r="AP323" t="s">
        <v>729</v>
      </c>
      <c r="AQ323" t="s">
        <v>730</v>
      </c>
      <c r="AR323" t="s">
        <v>731</v>
      </c>
      <c r="AS323" t="s">
        <v>732</v>
      </c>
      <c r="AT323" s="1">
        <v>44438</v>
      </c>
      <c r="AU323" s="1">
        <v>44438</v>
      </c>
    </row>
    <row r="324" spans="1:47" x14ac:dyDescent="0.3">
      <c r="A324" t="s">
        <v>246</v>
      </c>
      <c r="B324" t="s">
        <v>182</v>
      </c>
      <c r="C324" t="s">
        <v>183</v>
      </c>
      <c r="D324">
        <v>545</v>
      </c>
      <c r="E324" t="s">
        <v>722</v>
      </c>
      <c r="F324" t="s">
        <v>723</v>
      </c>
      <c r="G324" t="s">
        <v>724</v>
      </c>
      <c r="H324" t="s">
        <v>725</v>
      </c>
      <c r="I324" t="s">
        <v>54</v>
      </c>
      <c r="J324" t="s">
        <v>726</v>
      </c>
      <c r="K324" t="s">
        <v>56</v>
      </c>
      <c r="L324">
        <v>0</v>
      </c>
      <c r="M324" t="s">
        <v>73</v>
      </c>
      <c r="N324">
        <v>0</v>
      </c>
      <c r="O324" t="s">
        <v>58</v>
      </c>
      <c r="P324" t="s">
        <v>59</v>
      </c>
      <c r="Q324" t="s">
        <v>60</v>
      </c>
      <c r="R324" t="s">
        <v>726</v>
      </c>
      <c r="S324" s="1">
        <v>44424</v>
      </c>
      <c r="T324" s="1">
        <v>44430</v>
      </c>
      <c r="U324">
        <v>37501</v>
      </c>
      <c r="V324" t="s">
        <v>61</v>
      </c>
      <c r="W324" t="s">
        <v>727</v>
      </c>
      <c r="X324" s="1">
        <v>44432</v>
      </c>
      <c r="Y324" t="s">
        <v>63</v>
      </c>
      <c r="Z324">
        <v>158.62</v>
      </c>
      <c r="AA324">
        <v>16</v>
      </c>
      <c r="AB324">
        <v>25.38</v>
      </c>
      <c r="AC324">
        <v>0</v>
      </c>
      <c r="AD324">
        <v>184</v>
      </c>
      <c r="AE324">
        <v>5180.6000000000004</v>
      </c>
      <c r="AF324">
        <v>7091</v>
      </c>
      <c r="AG324" t="s">
        <v>728</v>
      </c>
      <c r="AH324" t="s">
        <v>65</v>
      </c>
      <c r="AI324" t="s">
        <v>65</v>
      </c>
      <c r="AJ324" t="s">
        <v>66</v>
      </c>
      <c r="AK324" t="s">
        <v>66</v>
      </c>
      <c r="AL324" t="s">
        <v>66</v>
      </c>
      <c r="AM324" s="2" t="str">
        <f>HYPERLINK("https://transparencia.cidesi.mx/comprobantes/2021/CQ2100686 /C7MSG_004659445_BI_24782.pdf")</f>
        <v>https://transparencia.cidesi.mx/comprobantes/2021/CQ2100686 /C7MSG_004659445_BI_24782.pdf</v>
      </c>
      <c r="AN324" t="str">
        <f>HYPERLINK("https://transparencia.cidesi.mx/comprobantes/2021/CQ2100686 /C7MSG_004659445_BI_24782.pdf")</f>
        <v>https://transparencia.cidesi.mx/comprobantes/2021/CQ2100686 /C7MSG_004659445_BI_24782.pdf</v>
      </c>
      <c r="AO324" t="str">
        <f>HYPERLINK("https://transparencia.cidesi.mx/comprobantes/2021/CQ2100686 /C7MSG_004659445_BI_24782.xml")</f>
        <v>https://transparencia.cidesi.mx/comprobantes/2021/CQ2100686 /C7MSG_004659445_BI_24782.xml</v>
      </c>
      <c r="AP324" t="s">
        <v>729</v>
      </c>
      <c r="AQ324" t="s">
        <v>730</v>
      </c>
      <c r="AR324" t="s">
        <v>731</v>
      </c>
      <c r="AS324" t="s">
        <v>732</v>
      </c>
      <c r="AT324" s="1">
        <v>44438</v>
      </c>
      <c r="AU324" s="1">
        <v>44438</v>
      </c>
    </row>
    <row r="325" spans="1:47" x14ac:dyDescent="0.3">
      <c r="A325" t="s">
        <v>246</v>
      </c>
      <c r="B325" t="s">
        <v>182</v>
      </c>
      <c r="C325" t="s">
        <v>183</v>
      </c>
      <c r="D325">
        <v>545</v>
      </c>
      <c r="E325" t="s">
        <v>722</v>
      </c>
      <c r="F325" t="s">
        <v>723</v>
      </c>
      <c r="G325" t="s">
        <v>724</v>
      </c>
      <c r="H325" t="s">
        <v>725</v>
      </c>
      <c r="I325" t="s">
        <v>54</v>
      </c>
      <c r="J325" t="s">
        <v>726</v>
      </c>
      <c r="K325" t="s">
        <v>56</v>
      </c>
      <c r="L325">
        <v>0</v>
      </c>
      <c r="M325" t="s">
        <v>73</v>
      </c>
      <c r="N325">
        <v>0</v>
      </c>
      <c r="O325" t="s">
        <v>58</v>
      </c>
      <c r="P325" t="s">
        <v>59</v>
      </c>
      <c r="Q325" t="s">
        <v>60</v>
      </c>
      <c r="R325" t="s">
        <v>726</v>
      </c>
      <c r="S325" s="1">
        <v>44424</v>
      </c>
      <c r="T325" s="1">
        <v>44430</v>
      </c>
      <c r="U325">
        <v>37501</v>
      </c>
      <c r="V325" t="s">
        <v>61</v>
      </c>
      <c r="W325" t="s">
        <v>727</v>
      </c>
      <c r="X325" s="1">
        <v>44432</v>
      </c>
      <c r="Y325" t="s">
        <v>63</v>
      </c>
      <c r="Z325">
        <v>97.41</v>
      </c>
      <c r="AA325">
        <v>16</v>
      </c>
      <c r="AB325">
        <v>15.59</v>
      </c>
      <c r="AC325">
        <v>13</v>
      </c>
      <c r="AD325">
        <v>126</v>
      </c>
      <c r="AE325">
        <v>5180.6000000000004</v>
      </c>
      <c r="AF325">
        <v>7091</v>
      </c>
      <c r="AG325" t="s">
        <v>728</v>
      </c>
      <c r="AH325" t="s">
        <v>65</v>
      </c>
      <c r="AI325" t="s">
        <v>65</v>
      </c>
      <c r="AJ325" t="s">
        <v>66</v>
      </c>
      <c r="AK325" t="s">
        <v>66</v>
      </c>
      <c r="AL325" t="s">
        <v>66</v>
      </c>
      <c r="AM325" s="2" t="str">
        <f>HYPERLINK("https://transparencia.cidesi.mx/comprobantes/2021/CQ2100686 /C8CYC_8583.pdf")</f>
        <v>https://transparencia.cidesi.mx/comprobantes/2021/CQ2100686 /C8CYC_8583.pdf</v>
      </c>
      <c r="AN325" t="str">
        <f>HYPERLINK("https://transparencia.cidesi.mx/comprobantes/2021/CQ2100686 /C8CYC_8583.pdf")</f>
        <v>https://transparencia.cidesi.mx/comprobantes/2021/CQ2100686 /C8CYC_8583.pdf</v>
      </c>
      <c r="AO325" t="str">
        <f>HYPERLINK("https://transparencia.cidesi.mx/comprobantes/2021/CQ2100686 /C8CYC_8583.xml")</f>
        <v>https://transparencia.cidesi.mx/comprobantes/2021/CQ2100686 /C8CYC_8583.xml</v>
      </c>
      <c r="AP325" t="s">
        <v>729</v>
      </c>
      <c r="AQ325" t="s">
        <v>730</v>
      </c>
      <c r="AR325" t="s">
        <v>731</v>
      </c>
      <c r="AS325" t="s">
        <v>732</v>
      </c>
      <c r="AT325" s="1">
        <v>44438</v>
      </c>
      <c r="AU325" s="1">
        <v>44438</v>
      </c>
    </row>
    <row r="326" spans="1:47" x14ac:dyDescent="0.3">
      <c r="A326" t="s">
        <v>246</v>
      </c>
      <c r="B326" t="s">
        <v>182</v>
      </c>
      <c r="C326" t="s">
        <v>183</v>
      </c>
      <c r="D326">
        <v>545</v>
      </c>
      <c r="E326" t="s">
        <v>722</v>
      </c>
      <c r="F326" t="s">
        <v>723</v>
      </c>
      <c r="G326" t="s">
        <v>724</v>
      </c>
      <c r="H326" t="s">
        <v>725</v>
      </c>
      <c r="I326" t="s">
        <v>54</v>
      </c>
      <c r="J326" t="s">
        <v>726</v>
      </c>
      <c r="K326" t="s">
        <v>56</v>
      </c>
      <c r="L326">
        <v>0</v>
      </c>
      <c r="M326" t="s">
        <v>73</v>
      </c>
      <c r="N326">
        <v>0</v>
      </c>
      <c r="O326" t="s">
        <v>58</v>
      </c>
      <c r="P326" t="s">
        <v>59</v>
      </c>
      <c r="Q326" t="s">
        <v>60</v>
      </c>
      <c r="R326" t="s">
        <v>726</v>
      </c>
      <c r="S326" s="1">
        <v>44424</v>
      </c>
      <c r="T326" s="1">
        <v>44430</v>
      </c>
      <c r="U326">
        <v>37501</v>
      </c>
      <c r="V326" t="s">
        <v>61</v>
      </c>
      <c r="W326" t="s">
        <v>727</v>
      </c>
      <c r="X326" s="1">
        <v>44432</v>
      </c>
      <c r="Y326" t="s">
        <v>63</v>
      </c>
      <c r="Z326">
        <v>137.07</v>
      </c>
      <c r="AA326">
        <v>16</v>
      </c>
      <c r="AB326">
        <v>21.93</v>
      </c>
      <c r="AC326">
        <v>15</v>
      </c>
      <c r="AD326">
        <v>174</v>
      </c>
      <c r="AE326">
        <v>5180.6000000000004</v>
      </c>
      <c r="AF326">
        <v>7091</v>
      </c>
      <c r="AG326" t="s">
        <v>728</v>
      </c>
      <c r="AH326" t="s">
        <v>65</v>
      </c>
      <c r="AI326" t="s">
        <v>65</v>
      </c>
      <c r="AJ326" t="s">
        <v>66</v>
      </c>
      <c r="AK326" t="s">
        <v>66</v>
      </c>
      <c r="AL326" t="s">
        <v>66</v>
      </c>
      <c r="AM326" s="2" t="str">
        <f>HYPERLINK("https://transparencia.cidesi.mx/comprobantes/2021/CQ2100686 /C9CYC_8585.pdf")</f>
        <v>https://transparencia.cidesi.mx/comprobantes/2021/CQ2100686 /C9CYC_8585.pdf</v>
      </c>
      <c r="AN326" t="str">
        <f>HYPERLINK("https://transparencia.cidesi.mx/comprobantes/2021/CQ2100686 /C9CYC_8585.pdf")</f>
        <v>https://transparencia.cidesi.mx/comprobantes/2021/CQ2100686 /C9CYC_8585.pdf</v>
      </c>
      <c r="AO326" t="str">
        <f>HYPERLINK("https://transparencia.cidesi.mx/comprobantes/2021/CQ2100686 /C9CYC_8585.xml")</f>
        <v>https://transparencia.cidesi.mx/comprobantes/2021/CQ2100686 /C9CYC_8585.xml</v>
      </c>
      <c r="AP326" t="s">
        <v>729</v>
      </c>
      <c r="AQ326" t="s">
        <v>730</v>
      </c>
      <c r="AR326" t="s">
        <v>731</v>
      </c>
      <c r="AS326" t="s">
        <v>732</v>
      </c>
      <c r="AT326" s="1">
        <v>44438</v>
      </c>
      <c r="AU326" s="1">
        <v>44438</v>
      </c>
    </row>
    <row r="327" spans="1:47" x14ac:dyDescent="0.3">
      <c r="A327" t="s">
        <v>246</v>
      </c>
      <c r="B327" t="s">
        <v>182</v>
      </c>
      <c r="C327" t="s">
        <v>183</v>
      </c>
      <c r="D327">
        <v>545</v>
      </c>
      <c r="E327" t="s">
        <v>722</v>
      </c>
      <c r="F327" t="s">
        <v>723</v>
      </c>
      <c r="G327" t="s">
        <v>724</v>
      </c>
      <c r="H327" t="s">
        <v>725</v>
      </c>
      <c r="I327" t="s">
        <v>54</v>
      </c>
      <c r="J327" t="s">
        <v>726</v>
      </c>
      <c r="K327" t="s">
        <v>56</v>
      </c>
      <c r="L327">
        <v>0</v>
      </c>
      <c r="M327" t="s">
        <v>73</v>
      </c>
      <c r="N327">
        <v>0</v>
      </c>
      <c r="O327" t="s">
        <v>58</v>
      </c>
      <c r="P327" t="s">
        <v>59</v>
      </c>
      <c r="Q327" t="s">
        <v>60</v>
      </c>
      <c r="R327" t="s">
        <v>726</v>
      </c>
      <c r="S327" s="1">
        <v>44424</v>
      </c>
      <c r="T327" s="1">
        <v>44430</v>
      </c>
      <c r="U327">
        <v>37501</v>
      </c>
      <c r="V327" t="s">
        <v>61</v>
      </c>
      <c r="W327" t="s">
        <v>727</v>
      </c>
      <c r="X327" s="1">
        <v>44432</v>
      </c>
      <c r="Y327" t="s">
        <v>63</v>
      </c>
      <c r="Z327">
        <v>141.38</v>
      </c>
      <c r="AA327">
        <v>16</v>
      </c>
      <c r="AB327">
        <v>22.62</v>
      </c>
      <c r="AC327">
        <v>16</v>
      </c>
      <c r="AD327">
        <v>180</v>
      </c>
      <c r="AE327">
        <v>5180.6000000000004</v>
      </c>
      <c r="AF327">
        <v>7091</v>
      </c>
      <c r="AG327" t="s">
        <v>728</v>
      </c>
      <c r="AH327" t="s">
        <v>65</v>
      </c>
      <c r="AI327" t="s">
        <v>65</v>
      </c>
      <c r="AJ327" t="s">
        <v>66</v>
      </c>
      <c r="AK327" t="s">
        <v>66</v>
      </c>
      <c r="AL327" t="s">
        <v>66</v>
      </c>
      <c r="AM327" s="2" t="str">
        <f>HYPERLINK("https://transparencia.cidesi.mx/comprobantes/2021/CQ2100686 /C10CYC_8584.pdf")</f>
        <v>https://transparencia.cidesi.mx/comprobantes/2021/CQ2100686 /C10CYC_8584.pdf</v>
      </c>
      <c r="AN327" t="str">
        <f>HYPERLINK("https://transparencia.cidesi.mx/comprobantes/2021/CQ2100686 /C10CYC_8584.pdf")</f>
        <v>https://transparencia.cidesi.mx/comprobantes/2021/CQ2100686 /C10CYC_8584.pdf</v>
      </c>
      <c r="AO327" t="str">
        <f>HYPERLINK("https://transparencia.cidesi.mx/comprobantes/2021/CQ2100686 /C10CYC_8584.xml")</f>
        <v>https://transparencia.cidesi.mx/comprobantes/2021/CQ2100686 /C10CYC_8584.xml</v>
      </c>
      <c r="AP327" t="s">
        <v>729</v>
      </c>
      <c r="AQ327" t="s">
        <v>730</v>
      </c>
      <c r="AR327" t="s">
        <v>731</v>
      </c>
      <c r="AS327" t="s">
        <v>732</v>
      </c>
      <c r="AT327" s="1">
        <v>44438</v>
      </c>
      <c r="AU327" s="1">
        <v>44438</v>
      </c>
    </row>
    <row r="328" spans="1:47" x14ac:dyDescent="0.3">
      <c r="A328" t="s">
        <v>246</v>
      </c>
      <c r="B328" t="s">
        <v>182</v>
      </c>
      <c r="C328" t="s">
        <v>183</v>
      </c>
      <c r="D328">
        <v>545</v>
      </c>
      <c r="E328" t="s">
        <v>722</v>
      </c>
      <c r="F328" t="s">
        <v>723</v>
      </c>
      <c r="G328" t="s">
        <v>724</v>
      </c>
      <c r="H328" t="s">
        <v>725</v>
      </c>
      <c r="I328" t="s">
        <v>54</v>
      </c>
      <c r="J328" t="s">
        <v>726</v>
      </c>
      <c r="K328" t="s">
        <v>56</v>
      </c>
      <c r="L328">
        <v>0</v>
      </c>
      <c r="M328" t="s">
        <v>73</v>
      </c>
      <c r="N328">
        <v>0</v>
      </c>
      <c r="O328" t="s">
        <v>58</v>
      </c>
      <c r="P328" t="s">
        <v>59</v>
      </c>
      <c r="Q328" t="s">
        <v>60</v>
      </c>
      <c r="R328" t="s">
        <v>726</v>
      </c>
      <c r="S328" s="1">
        <v>44424</v>
      </c>
      <c r="T328" s="1">
        <v>44430</v>
      </c>
      <c r="U328">
        <v>37501</v>
      </c>
      <c r="V328" t="s">
        <v>104</v>
      </c>
      <c r="W328" t="s">
        <v>727</v>
      </c>
      <c r="X328" s="1">
        <v>44432</v>
      </c>
      <c r="Y328" t="s">
        <v>63</v>
      </c>
      <c r="Z328">
        <v>2769.75</v>
      </c>
      <c r="AA328">
        <v>16</v>
      </c>
      <c r="AB328">
        <v>430.25</v>
      </c>
      <c r="AC328">
        <v>0</v>
      </c>
      <c r="AD328">
        <v>3200</v>
      </c>
      <c r="AE328">
        <v>5180.6000000000004</v>
      </c>
      <c r="AF328">
        <v>7091</v>
      </c>
      <c r="AG328" t="s">
        <v>733</v>
      </c>
      <c r="AH328" t="s">
        <v>65</v>
      </c>
      <c r="AI328" t="s">
        <v>65</v>
      </c>
      <c r="AJ328" t="s">
        <v>66</v>
      </c>
      <c r="AK328" t="s">
        <v>66</v>
      </c>
      <c r="AL328" t="s">
        <v>66</v>
      </c>
      <c r="AM328" s="2" t="str">
        <f>HYPERLINK("https://transparencia.cidesi.mx/comprobantes/2021/CQ2100686 /C11B094 295bc3d0-5ab9-4b2a-b9ef-9ccadcb2a2e2.pdf")</f>
        <v>https://transparencia.cidesi.mx/comprobantes/2021/CQ2100686 /C11B094 295bc3d0-5ab9-4b2a-b9ef-9ccadcb2a2e2.pdf</v>
      </c>
      <c r="AN328" t="str">
        <f>HYPERLINK("https://transparencia.cidesi.mx/comprobantes/2021/CQ2100686 /C11B094 295bc3d0-5ab9-4b2a-b9ef-9ccadcb2a2e2.pdf")</f>
        <v>https://transparencia.cidesi.mx/comprobantes/2021/CQ2100686 /C11B094 295bc3d0-5ab9-4b2a-b9ef-9ccadcb2a2e2.pdf</v>
      </c>
      <c r="AO328" t="str">
        <f>HYPERLINK("https://transparencia.cidesi.mx/comprobantes/2021/CQ2100686 /C11B094 295bc3d0-5ab9-4b2a-b9ef-9ccadcb2a2e2.xml")</f>
        <v>https://transparencia.cidesi.mx/comprobantes/2021/CQ2100686 /C11B094 295bc3d0-5ab9-4b2a-b9ef-9ccadcb2a2e2.xml</v>
      </c>
      <c r="AP328" t="s">
        <v>729</v>
      </c>
      <c r="AQ328" t="s">
        <v>730</v>
      </c>
      <c r="AR328" t="s">
        <v>731</v>
      </c>
      <c r="AS328" t="s">
        <v>732</v>
      </c>
      <c r="AT328" s="1">
        <v>44438</v>
      </c>
      <c r="AU328" s="1">
        <v>44438</v>
      </c>
    </row>
    <row r="329" spans="1:47" x14ac:dyDescent="0.3">
      <c r="A329" t="s">
        <v>246</v>
      </c>
      <c r="B329" t="s">
        <v>182</v>
      </c>
      <c r="C329" t="s">
        <v>183</v>
      </c>
      <c r="D329">
        <v>565</v>
      </c>
      <c r="E329" t="s">
        <v>734</v>
      </c>
      <c r="F329" t="s">
        <v>708</v>
      </c>
      <c r="G329" t="s">
        <v>735</v>
      </c>
      <c r="H329" t="s">
        <v>736</v>
      </c>
      <c r="I329" t="s">
        <v>54</v>
      </c>
      <c r="J329" t="s">
        <v>737</v>
      </c>
      <c r="K329" t="s">
        <v>56</v>
      </c>
      <c r="L329">
        <v>0</v>
      </c>
      <c r="M329" t="s">
        <v>73</v>
      </c>
      <c r="N329">
        <v>0</v>
      </c>
      <c r="O329" t="s">
        <v>58</v>
      </c>
      <c r="P329" t="s">
        <v>59</v>
      </c>
      <c r="Q329" t="s">
        <v>738</v>
      </c>
      <c r="R329" t="s">
        <v>737</v>
      </c>
      <c r="S329" s="1">
        <v>44382</v>
      </c>
      <c r="T329" s="1">
        <v>44386</v>
      </c>
      <c r="U329">
        <v>37501</v>
      </c>
      <c r="V329" t="s">
        <v>104</v>
      </c>
      <c r="W329" t="s">
        <v>739</v>
      </c>
      <c r="X329" s="1">
        <v>44392</v>
      </c>
      <c r="Y329" t="s">
        <v>63</v>
      </c>
      <c r="Z329">
        <v>741.6</v>
      </c>
      <c r="AA329">
        <v>16</v>
      </c>
      <c r="AB329">
        <v>115.2</v>
      </c>
      <c r="AC329">
        <v>0</v>
      </c>
      <c r="AD329">
        <v>856.8</v>
      </c>
      <c r="AE329">
        <v>4375.24</v>
      </c>
      <c r="AF329">
        <v>4909</v>
      </c>
      <c r="AG329" t="s">
        <v>740</v>
      </c>
      <c r="AH329" t="s">
        <v>65</v>
      </c>
      <c r="AI329" t="s">
        <v>65</v>
      </c>
      <c r="AJ329" t="s">
        <v>66</v>
      </c>
      <c r="AK329" t="s">
        <v>66</v>
      </c>
      <c r="AL329" t="s">
        <v>66</v>
      </c>
      <c r="AM329" s="2" t="str">
        <f>HYPERLINK("https://transparencia.cidesi.mx/comprobantes/2021/CQ2100511 /C1CFD_FE_F1PUFI156253.xml")</f>
        <v>https://transparencia.cidesi.mx/comprobantes/2021/CQ2100511 /C1CFD_FE_F1PUFI156253.xml</v>
      </c>
      <c r="AN329" t="str">
        <f>HYPERLINK("https://transparencia.cidesi.mx/comprobantes/2021/CQ2100511 /C1CFD_FE_F1PUFI156253.xml")</f>
        <v>https://transparencia.cidesi.mx/comprobantes/2021/CQ2100511 /C1CFD_FE_F1PUFI156253.xml</v>
      </c>
      <c r="AO329" t="str">
        <f>HYPERLINK("https://transparencia.cidesi.mx/comprobantes/2021/CQ2100511 /C1CFD_FE_F1PUFI156253.xml")</f>
        <v>https://transparencia.cidesi.mx/comprobantes/2021/CQ2100511 /C1CFD_FE_F1PUFI156253.xml</v>
      </c>
      <c r="AP329" t="s">
        <v>741</v>
      </c>
      <c r="AQ329" t="s">
        <v>742</v>
      </c>
      <c r="AR329" t="s">
        <v>743</v>
      </c>
      <c r="AS329" t="s">
        <v>744</v>
      </c>
      <c r="AT329" s="1">
        <v>44393</v>
      </c>
      <c r="AU329" s="1">
        <v>44397</v>
      </c>
    </row>
    <row r="330" spans="1:47" x14ac:dyDescent="0.3">
      <c r="A330" t="s">
        <v>246</v>
      </c>
      <c r="B330" t="s">
        <v>182</v>
      </c>
      <c r="C330" t="s">
        <v>183</v>
      </c>
      <c r="D330">
        <v>565</v>
      </c>
      <c r="E330" t="s">
        <v>734</v>
      </c>
      <c r="F330" t="s">
        <v>708</v>
      </c>
      <c r="G330" t="s">
        <v>735</v>
      </c>
      <c r="H330" t="s">
        <v>736</v>
      </c>
      <c r="I330" t="s">
        <v>54</v>
      </c>
      <c r="J330" t="s">
        <v>737</v>
      </c>
      <c r="K330" t="s">
        <v>56</v>
      </c>
      <c r="L330">
        <v>0</v>
      </c>
      <c r="M330" t="s">
        <v>73</v>
      </c>
      <c r="N330">
        <v>0</v>
      </c>
      <c r="O330" t="s">
        <v>58</v>
      </c>
      <c r="P330" t="s">
        <v>59</v>
      </c>
      <c r="Q330" t="s">
        <v>738</v>
      </c>
      <c r="R330" t="s">
        <v>737</v>
      </c>
      <c r="S330" s="1">
        <v>44382</v>
      </c>
      <c r="T330" s="1">
        <v>44386</v>
      </c>
      <c r="U330">
        <v>37501</v>
      </c>
      <c r="V330" t="s">
        <v>104</v>
      </c>
      <c r="W330" t="s">
        <v>739</v>
      </c>
      <c r="X330" s="1">
        <v>44392</v>
      </c>
      <c r="Y330" t="s">
        <v>63</v>
      </c>
      <c r="Z330">
        <v>741.6</v>
      </c>
      <c r="AA330">
        <v>16</v>
      </c>
      <c r="AB330">
        <v>115.2</v>
      </c>
      <c r="AC330">
        <v>0</v>
      </c>
      <c r="AD330">
        <v>856.8</v>
      </c>
      <c r="AE330">
        <v>4375.24</v>
      </c>
      <c r="AF330">
        <v>4909</v>
      </c>
      <c r="AG330" t="s">
        <v>740</v>
      </c>
      <c r="AH330" t="s">
        <v>65</v>
      </c>
      <c r="AI330" t="s">
        <v>65</v>
      </c>
      <c r="AJ330" t="s">
        <v>66</v>
      </c>
      <c r="AK330" t="s">
        <v>66</v>
      </c>
      <c r="AL330" t="s">
        <v>66</v>
      </c>
      <c r="AM330" s="2" t="str">
        <f>HYPERLINK("https://transparencia.cidesi.mx/comprobantes/2021/CQ2100511 /C2CFD_FE_F1PUFI156285.xml")</f>
        <v>https://transparencia.cidesi.mx/comprobantes/2021/CQ2100511 /C2CFD_FE_F1PUFI156285.xml</v>
      </c>
      <c r="AN330" t="str">
        <f>HYPERLINK("https://transparencia.cidesi.mx/comprobantes/2021/CQ2100511 /C2CFD_FE_F1PUFI156285.xml")</f>
        <v>https://transparencia.cidesi.mx/comprobantes/2021/CQ2100511 /C2CFD_FE_F1PUFI156285.xml</v>
      </c>
      <c r="AO330" t="str">
        <f>HYPERLINK("https://transparencia.cidesi.mx/comprobantes/2021/CQ2100511 /C2CFD_FE_F1PUFI156285.xml")</f>
        <v>https://transparencia.cidesi.mx/comprobantes/2021/CQ2100511 /C2CFD_FE_F1PUFI156285.xml</v>
      </c>
      <c r="AP330" t="s">
        <v>741</v>
      </c>
      <c r="AQ330" t="s">
        <v>742</v>
      </c>
      <c r="AR330" t="s">
        <v>743</v>
      </c>
      <c r="AS330" t="s">
        <v>744</v>
      </c>
      <c r="AT330" s="1">
        <v>44393</v>
      </c>
      <c r="AU330" s="1">
        <v>44397</v>
      </c>
    </row>
    <row r="331" spans="1:47" x14ac:dyDescent="0.3">
      <c r="A331" t="s">
        <v>246</v>
      </c>
      <c r="B331" t="s">
        <v>182</v>
      </c>
      <c r="C331" t="s">
        <v>183</v>
      </c>
      <c r="D331">
        <v>565</v>
      </c>
      <c r="E331" t="s">
        <v>734</v>
      </c>
      <c r="F331" t="s">
        <v>708</v>
      </c>
      <c r="G331" t="s">
        <v>735</v>
      </c>
      <c r="H331" t="s">
        <v>736</v>
      </c>
      <c r="I331" t="s">
        <v>54</v>
      </c>
      <c r="J331" t="s">
        <v>737</v>
      </c>
      <c r="K331" t="s">
        <v>56</v>
      </c>
      <c r="L331">
        <v>0</v>
      </c>
      <c r="M331" t="s">
        <v>73</v>
      </c>
      <c r="N331">
        <v>0</v>
      </c>
      <c r="O331" t="s">
        <v>58</v>
      </c>
      <c r="P331" t="s">
        <v>59</v>
      </c>
      <c r="Q331" t="s">
        <v>738</v>
      </c>
      <c r="R331" t="s">
        <v>737</v>
      </c>
      <c r="S331" s="1">
        <v>44382</v>
      </c>
      <c r="T331" s="1">
        <v>44386</v>
      </c>
      <c r="U331">
        <v>37501</v>
      </c>
      <c r="V331" t="s">
        <v>104</v>
      </c>
      <c r="W331" t="s">
        <v>739</v>
      </c>
      <c r="X331" s="1">
        <v>44392</v>
      </c>
      <c r="Y331" t="s">
        <v>63</v>
      </c>
      <c r="Z331">
        <v>560.35</v>
      </c>
      <c r="AA331">
        <v>16</v>
      </c>
      <c r="AB331">
        <v>89.66</v>
      </c>
      <c r="AC331">
        <v>0</v>
      </c>
      <c r="AD331">
        <v>650.01</v>
      </c>
      <c r="AE331">
        <v>4375.24</v>
      </c>
      <c r="AF331">
        <v>4909</v>
      </c>
      <c r="AG331" t="s">
        <v>740</v>
      </c>
      <c r="AH331" t="s">
        <v>65</v>
      </c>
      <c r="AI331" t="s">
        <v>65</v>
      </c>
      <c r="AJ331" t="s">
        <v>66</v>
      </c>
      <c r="AK331" t="s">
        <v>66</v>
      </c>
      <c r="AL331" t="s">
        <v>66</v>
      </c>
      <c r="AM331" s="2" t="str">
        <f>HYPERLINK("https://transparencia.cidesi.mx/comprobantes/2021/CQ2100511 /C3FF0000005276.xml")</f>
        <v>https://transparencia.cidesi.mx/comprobantes/2021/CQ2100511 /C3FF0000005276.xml</v>
      </c>
      <c r="AN331" t="str">
        <f>HYPERLINK("https://transparencia.cidesi.mx/comprobantes/2021/CQ2100511 /C3FF0000005276.xml")</f>
        <v>https://transparencia.cidesi.mx/comprobantes/2021/CQ2100511 /C3FF0000005276.xml</v>
      </c>
      <c r="AO331" t="str">
        <f>HYPERLINK("https://transparencia.cidesi.mx/comprobantes/2021/CQ2100511 /C3FF0000005276.xml")</f>
        <v>https://transparencia.cidesi.mx/comprobantes/2021/CQ2100511 /C3FF0000005276.xml</v>
      </c>
      <c r="AP331" t="s">
        <v>741</v>
      </c>
      <c r="AQ331" t="s">
        <v>742</v>
      </c>
      <c r="AR331" t="s">
        <v>743</v>
      </c>
      <c r="AS331" t="s">
        <v>744</v>
      </c>
      <c r="AT331" s="1">
        <v>44393</v>
      </c>
      <c r="AU331" s="1">
        <v>44397</v>
      </c>
    </row>
    <row r="332" spans="1:47" x14ac:dyDescent="0.3">
      <c r="A332" t="s">
        <v>246</v>
      </c>
      <c r="B332" t="s">
        <v>182</v>
      </c>
      <c r="C332" t="s">
        <v>183</v>
      </c>
      <c r="D332">
        <v>565</v>
      </c>
      <c r="E332" t="s">
        <v>734</v>
      </c>
      <c r="F332" t="s">
        <v>708</v>
      </c>
      <c r="G332" t="s">
        <v>735</v>
      </c>
      <c r="H332" t="s">
        <v>736</v>
      </c>
      <c r="I332" t="s">
        <v>54</v>
      </c>
      <c r="J332" t="s">
        <v>737</v>
      </c>
      <c r="K332" t="s">
        <v>56</v>
      </c>
      <c r="L332">
        <v>0</v>
      </c>
      <c r="M332" t="s">
        <v>73</v>
      </c>
      <c r="N332">
        <v>0</v>
      </c>
      <c r="O332" t="s">
        <v>58</v>
      </c>
      <c r="P332" t="s">
        <v>59</v>
      </c>
      <c r="Q332" t="s">
        <v>738</v>
      </c>
      <c r="R332" t="s">
        <v>737</v>
      </c>
      <c r="S332" s="1">
        <v>44382</v>
      </c>
      <c r="T332" s="1">
        <v>44386</v>
      </c>
      <c r="U332">
        <v>37501</v>
      </c>
      <c r="V332" t="s">
        <v>104</v>
      </c>
      <c r="W332" t="s">
        <v>739</v>
      </c>
      <c r="X332" s="1">
        <v>44392</v>
      </c>
      <c r="Y332" t="s">
        <v>63</v>
      </c>
      <c r="Z332">
        <v>560.35</v>
      </c>
      <c r="AA332">
        <v>16</v>
      </c>
      <c r="AB332">
        <v>89.66</v>
      </c>
      <c r="AC332">
        <v>0</v>
      </c>
      <c r="AD332">
        <v>650.01</v>
      </c>
      <c r="AE332">
        <v>4375.24</v>
      </c>
      <c r="AF332">
        <v>4909</v>
      </c>
      <c r="AG332" t="s">
        <v>740</v>
      </c>
      <c r="AH332" t="s">
        <v>65</v>
      </c>
      <c r="AI332" t="s">
        <v>65</v>
      </c>
      <c r="AJ332" t="s">
        <v>66</v>
      </c>
      <c r="AK332" t="s">
        <v>66</v>
      </c>
      <c r="AL332" t="s">
        <v>66</v>
      </c>
      <c r="AM332" s="2" t="str">
        <f>HYPERLINK("https://transparencia.cidesi.mx/comprobantes/2021/CQ2100511 /C4FF0000005275.xml")</f>
        <v>https://transparencia.cidesi.mx/comprobantes/2021/CQ2100511 /C4FF0000005275.xml</v>
      </c>
      <c r="AN332" t="str">
        <f>HYPERLINK("https://transparencia.cidesi.mx/comprobantes/2021/CQ2100511 /C4FF0000005275.xml")</f>
        <v>https://transparencia.cidesi.mx/comprobantes/2021/CQ2100511 /C4FF0000005275.xml</v>
      </c>
      <c r="AO332" t="str">
        <f>HYPERLINK("https://transparencia.cidesi.mx/comprobantes/2021/CQ2100511 /C4FF0000005275.xml")</f>
        <v>https://transparencia.cidesi.mx/comprobantes/2021/CQ2100511 /C4FF0000005275.xml</v>
      </c>
      <c r="AP332" t="s">
        <v>741</v>
      </c>
      <c r="AQ332" t="s">
        <v>742</v>
      </c>
      <c r="AR332" t="s">
        <v>743</v>
      </c>
      <c r="AS332" t="s">
        <v>744</v>
      </c>
      <c r="AT332" s="1">
        <v>44393</v>
      </c>
      <c r="AU332" s="1">
        <v>44397</v>
      </c>
    </row>
    <row r="333" spans="1:47" x14ac:dyDescent="0.3">
      <c r="A333" t="s">
        <v>246</v>
      </c>
      <c r="B333" t="s">
        <v>182</v>
      </c>
      <c r="C333" t="s">
        <v>183</v>
      </c>
      <c r="D333">
        <v>565</v>
      </c>
      <c r="E333" t="s">
        <v>734</v>
      </c>
      <c r="F333" t="s">
        <v>708</v>
      </c>
      <c r="G333" t="s">
        <v>735</v>
      </c>
      <c r="H333" t="s">
        <v>736</v>
      </c>
      <c r="I333" t="s">
        <v>54</v>
      </c>
      <c r="J333" t="s">
        <v>737</v>
      </c>
      <c r="K333" t="s">
        <v>56</v>
      </c>
      <c r="L333">
        <v>0</v>
      </c>
      <c r="M333" t="s">
        <v>73</v>
      </c>
      <c r="N333">
        <v>0</v>
      </c>
      <c r="O333" t="s">
        <v>58</v>
      </c>
      <c r="P333" t="s">
        <v>59</v>
      </c>
      <c r="Q333" t="s">
        <v>738</v>
      </c>
      <c r="R333" t="s">
        <v>737</v>
      </c>
      <c r="S333" s="1">
        <v>44382</v>
      </c>
      <c r="T333" s="1">
        <v>44386</v>
      </c>
      <c r="U333">
        <v>37501</v>
      </c>
      <c r="V333" t="s">
        <v>61</v>
      </c>
      <c r="W333" t="s">
        <v>739</v>
      </c>
      <c r="X333" s="1">
        <v>44392</v>
      </c>
      <c r="Y333" t="s">
        <v>63</v>
      </c>
      <c r="Z333">
        <v>297.41000000000003</v>
      </c>
      <c r="AA333">
        <v>16</v>
      </c>
      <c r="AB333">
        <v>47.56</v>
      </c>
      <c r="AC333">
        <v>34.5</v>
      </c>
      <c r="AD333">
        <v>379.47</v>
      </c>
      <c r="AE333">
        <v>4375.24</v>
      </c>
      <c r="AF333">
        <v>4909</v>
      </c>
      <c r="AG333" t="s">
        <v>745</v>
      </c>
      <c r="AH333" t="s">
        <v>65</v>
      </c>
      <c r="AI333" t="s">
        <v>65</v>
      </c>
      <c r="AJ333" t="s">
        <v>66</v>
      </c>
      <c r="AK333" t="s">
        <v>66</v>
      </c>
      <c r="AL333" t="s">
        <v>66</v>
      </c>
      <c r="AM333" s="2" t="str">
        <f>HYPERLINK("https://transparencia.cidesi.mx/comprobantes/2021/CQ2100511 /C5RORR791119M94_Factura__36786_CA353BEF-38CB-4006-A9A4-93606CC91C1C.xml")</f>
        <v>https://transparencia.cidesi.mx/comprobantes/2021/CQ2100511 /C5RORR791119M94_Factura__36786_CA353BEF-38CB-4006-A9A4-93606CC91C1C.xml</v>
      </c>
      <c r="AN333" t="str">
        <f>HYPERLINK("https://transparencia.cidesi.mx/comprobantes/2021/CQ2100511 /C5RORR791119M94_Factura__36786_CA353BEF-38CB-4006-A9A4-93606CC91C1C.xml")</f>
        <v>https://transparencia.cidesi.mx/comprobantes/2021/CQ2100511 /C5RORR791119M94_Factura__36786_CA353BEF-38CB-4006-A9A4-93606CC91C1C.xml</v>
      </c>
      <c r="AO333" t="str">
        <f>HYPERLINK("https://transparencia.cidesi.mx/comprobantes/2021/CQ2100511 /C5RORR791119M94_Factura__36786_CA353BEF-38CB-4006-A9A4-93606CC91C1C.xml")</f>
        <v>https://transparencia.cidesi.mx/comprobantes/2021/CQ2100511 /C5RORR791119M94_Factura__36786_CA353BEF-38CB-4006-A9A4-93606CC91C1C.xml</v>
      </c>
      <c r="AP333" t="s">
        <v>741</v>
      </c>
      <c r="AQ333" t="s">
        <v>742</v>
      </c>
      <c r="AR333" t="s">
        <v>743</v>
      </c>
      <c r="AS333" t="s">
        <v>744</v>
      </c>
      <c r="AT333" s="1">
        <v>44393</v>
      </c>
      <c r="AU333" s="1">
        <v>44397</v>
      </c>
    </row>
    <row r="334" spans="1:47" x14ac:dyDescent="0.3">
      <c r="A334" t="s">
        <v>246</v>
      </c>
      <c r="B334" t="s">
        <v>182</v>
      </c>
      <c r="C334" t="s">
        <v>183</v>
      </c>
      <c r="D334">
        <v>565</v>
      </c>
      <c r="E334" t="s">
        <v>734</v>
      </c>
      <c r="F334" t="s">
        <v>708</v>
      </c>
      <c r="G334" t="s">
        <v>735</v>
      </c>
      <c r="H334" t="s">
        <v>736</v>
      </c>
      <c r="I334" t="s">
        <v>54</v>
      </c>
      <c r="J334" t="s">
        <v>737</v>
      </c>
      <c r="K334" t="s">
        <v>56</v>
      </c>
      <c r="L334">
        <v>0</v>
      </c>
      <c r="M334" t="s">
        <v>73</v>
      </c>
      <c r="N334">
        <v>0</v>
      </c>
      <c r="O334" t="s">
        <v>58</v>
      </c>
      <c r="P334" t="s">
        <v>59</v>
      </c>
      <c r="Q334" t="s">
        <v>738</v>
      </c>
      <c r="R334" t="s">
        <v>737</v>
      </c>
      <c r="S334" s="1">
        <v>44382</v>
      </c>
      <c r="T334" s="1">
        <v>44386</v>
      </c>
      <c r="U334">
        <v>37501</v>
      </c>
      <c r="V334" t="s">
        <v>61</v>
      </c>
      <c r="W334" t="s">
        <v>739</v>
      </c>
      <c r="X334" s="1">
        <v>44392</v>
      </c>
      <c r="Y334" t="s">
        <v>63</v>
      </c>
      <c r="Z334">
        <v>286.64</v>
      </c>
      <c r="AA334">
        <v>16</v>
      </c>
      <c r="AB334">
        <v>45.86</v>
      </c>
      <c r="AC334">
        <v>33.25</v>
      </c>
      <c r="AD334">
        <v>365.75</v>
      </c>
      <c r="AE334">
        <v>4375.24</v>
      </c>
      <c r="AF334">
        <v>4909</v>
      </c>
      <c r="AG334" t="s">
        <v>745</v>
      </c>
      <c r="AH334" t="s">
        <v>65</v>
      </c>
      <c r="AI334" t="s">
        <v>65</v>
      </c>
      <c r="AJ334" t="s">
        <v>66</v>
      </c>
      <c r="AK334" t="s">
        <v>66</v>
      </c>
      <c r="AL334" t="s">
        <v>66</v>
      </c>
      <c r="AM334" s="2" t="str">
        <f>HYPERLINK("https://transparencia.cidesi.mx/comprobantes/2021/CQ2100511 /C6RORR791119M94_Factura__36687_716EEA86-C8F7-4362-91AA-D86897AB8A73.xml")</f>
        <v>https://transparencia.cidesi.mx/comprobantes/2021/CQ2100511 /C6RORR791119M94_Factura__36687_716EEA86-C8F7-4362-91AA-D86897AB8A73.xml</v>
      </c>
      <c r="AN334" t="str">
        <f>HYPERLINK("https://transparencia.cidesi.mx/comprobantes/2021/CQ2100511 /C6RORR791119M94_Factura__36687_716EEA86-C8F7-4362-91AA-D86897AB8A73.xml")</f>
        <v>https://transparencia.cidesi.mx/comprobantes/2021/CQ2100511 /C6RORR791119M94_Factura__36687_716EEA86-C8F7-4362-91AA-D86897AB8A73.xml</v>
      </c>
      <c r="AO334" t="str">
        <f>HYPERLINK("https://transparencia.cidesi.mx/comprobantes/2021/CQ2100511 /C6RORR791119M94_Factura__36687_716EEA86-C8F7-4362-91AA-D86897AB8A73.xml")</f>
        <v>https://transparencia.cidesi.mx/comprobantes/2021/CQ2100511 /C6RORR791119M94_Factura__36687_716EEA86-C8F7-4362-91AA-D86897AB8A73.xml</v>
      </c>
      <c r="AP334" t="s">
        <v>741</v>
      </c>
      <c r="AQ334" t="s">
        <v>742</v>
      </c>
      <c r="AR334" t="s">
        <v>743</v>
      </c>
      <c r="AS334" t="s">
        <v>744</v>
      </c>
      <c r="AT334" s="1">
        <v>44393</v>
      </c>
      <c r="AU334" s="1">
        <v>44397</v>
      </c>
    </row>
    <row r="335" spans="1:47" x14ac:dyDescent="0.3">
      <c r="A335" t="s">
        <v>246</v>
      </c>
      <c r="B335" t="s">
        <v>182</v>
      </c>
      <c r="C335" t="s">
        <v>183</v>
      </c>
      <c r="D335">
        <v>565</v>
      </c>
      <c r="E335" t="s">
        <v>734</v>
      </c>
      <c r="F335" t="s">
        <v>708</v>
      </c>
      <c r="G335" t="s">
        <v>735</v>
      </c>
      <c r="H335" t="s">
        <v>736</v>
      </c>
      <c r="I335" t="s">
        <v>54</v>
      </c>
      <c r="J335" t="s">
        <v>737</v>
      </c>
      <c r="K335" t="s">
        <v>56</v>
      </c>
      <c r="L335">
        <v>0</v>
      </c>
      <c r="M335" t="s">
        <v>73</v>
      </c>
      <c r="N335">
        <v>0</v>
      </c>
      <c r="O335" t="s">
        <v>58</v>
      </c>
      <c r="P335" t="s">
        <v>59</v>
      </c>
      <c r="Q335" t="s">
        <v>738</v>
      </c>
      <c r="R335" t="s">
        <v>737</v>
      </c>
      <c r="S335" s="1">
        <v>44382</v>
      </c>
      <c r="T335" s="1">
        <v>44386</v>
      </c>
      <c r="U335">
        <v>37501</v>
      </c>
      <c r="V335" t="s">
        <v>61</v>
      </c>
      <c r="W335" t="s">
        <v>739</v>
      </c>
      <c r="X335" s="1">
        <v>44392</v>
      </c>
      <c r="Y335" t="s">
        <v>63</v>
      </c>
      <c r="Z335">
        <v>321.12</v>
      </c>
      <c r="AA335">
        <v>16</v>
      </c>
      <c r="AB335">
        <v>51.38</v>
      </c>
      <c r="AC335">
        <v>38</v>
      </c>
      <c r="AD335">
        <v>410.5</v>
      </c>
      <c r="AE335">
        <v>4375.24</v>
      </c>
      <c r="AF335">
        <v>4909</v>
      </c>
      <c r="AG335" t="s">
        <v>745</v>
      </c>
      <c r="AH335" t="s">
        <v>65</v>
      </c>
      <c r="AI335" t="s">
        <v>65</v>
      </c>
      <c r="AJ335" t="s">
        <v>66</v>
      </c>
      <c r="AK335" t="s">
        <v>66</v>
      </c>
      <c r="AL335" t="s">
        <v>66</v>
      </c>
      <c r="AM335" s="2" t="str">
        <f>HYPERLINK("https://transparencia.cidesi.mx/comprobantes/2021/CQ2100511 /C7OHP160328C64-13-07-2021-135023762-358ccc7f-33ee-45c1-83d5-cd1ccdaa566c-ERA33-28367.xml")</f>
        <v>https://transparencia.cidesi.mx/comprobantes/2021/CQ2100511 /C7OHP160328C64-13-07-2021-135023762-358ccc7f-33ee-45c1-83d5-cd1ccdaa566c-ERA33-28367.xml</v>
      </c>
      <c r="AN335" t="str">
        <f>HYPERLINK("https://transparencia.cidesi.mx/comprobantes/2021/CQ2100511 /C7OHP160328C64-13-07-2021-135023762-358ccc7f-33ee-45c1-83d5-cd1ccdaa566c-ERA33-28367.xml")</f>
        <v>https://transparencia.cidesi.mx/comprobantes/2021/CQ2100511 /C7OHP160328C64-13-07-2021-135023762-358ccc7f-33ee-45c1-83d5-cd1ccdaa566c-ERA33-28367.xml</v>
      </c>
      <c r="AO335" t="str">
        <f>HYPERLINK("https://transparencia.cidesi.mx/comprobantes/2021/CQ2100511 /C7OHP160328C64-13-07-2021-135023762-358ccc7f-33ee-45c1-83d5-cd1ccdaa566c-ERA33-28367.xml")</f>
        <v>https://transparencia.cidesi.mx/comprobantes/2021/CQ2100511 /C7OHP160328C64-13-07-2021-135023762-358ccc7f-33ee-45c1-83d5-cd1ccdaa566c-ERA33-28367.xml</v>
      </c>
      <c r="AP335" t="s">
        <v>741</v>
      </c>
      <c r="AQ335" t="s">
        <v>742</v>
      </c>
      <c r="AR335" t="s">
        <v>743</v>
      </c>
      <c r="AS335" t="s">
        <v>744</v>
      </c>
      <c r="AT335" s="1">
        <v>44393</v>
      </c>
      <c r="AU335" s="1">
        <v>44397</v>
      </c>
    </row>
    <row r="336" spans="1:47" x14ac:dyDescent="0.3">
      <c r="A336" t="s">
        <v>246</v>
      </c>
      <c r="B336" t="s">
        <v>182</v>
      </c>
      <c r="C336" t="s">
        <v>183</v>
      </c>
      <c r="D336">
        <v>565</v>
      </c>
      <c r="E336" t="s">
        <v>734</v>
      </c>
      <c r="F336" t="s">
        <v>708</v>
      </c>
      <c r="G336" t="s">
        <v>735</v>
      </c>
      <c r="H336" t="s">
        <v>736</v>
      </c>
      <c r="I336" t="s">
        <v>54</v>
      </c>
      <c r="J336" t="s">
        <v>737</v>
      </c>
      <c r="K336" t="s">
        <v>56</v>
      </c>
      <c r="L336">
        <v>0</v>
      </c>
      <c r="M336" t="s">
        <v>73</v>
      </c>
      <c r="N336">
        <v>0</v>
      </c>
      <c r="O336" t="s">
        <v>58</v>
      </c>
      <c r="P336" t="s">
        <v>59</v>
      </c>
      <c r="Q336" t="s">
        <v>738</v>
      </c>
      <c r="R336" t="s">
        <v>737</v>
      </c>
      <c r="S336" s="1">
        <v>44382</v>
      </c>
      <c r="T336" s="1">
        <v>44386</v>
      </c>
      <c r="U336">
        <v>37501</v>
      </c>
      <c r="V336" t="s">
        <v>61</v>
      </c>
      <c r="W336" t="s">
        <v>739</v>
      </c>
      <c r="X336" s="1">
        <v>44392</v>
      </c>
      <c r="Y336" t="s">
        <v>63</v>
      </c>
      <c r="Z336">
        <v>194.87</v>
      </c>
      <c r="AA336">
        <v>16</v>
      </c>
      <c r="AB336">
        <v>11.03</v>
      </c>
      <c r="AC336">
        <v>0</v>
      </c>
      <c r="AD336">
        <v>205.9</v>
      </c>
      <c r="AE336">
        <v>4375.24</v>
      </c>
      <c r="AF336">
        <v>4909</v>
      </c>
      <c r="AG336" t="s">
        <v>745</v>
      </c>
      <c r="AH336" t="s">
        <v>65</v>
      </c>
      <c r="AI336" t="s">
        <v>65</v>
      </c>
      <c r="AJ336" t="s">
        <v>66</v>
      </c>
      <c r="AK336" t="s">
        <v>66</v>
      </c>
      <c r="AL336" t="s">
        <v>66</v>
      </c>
      <c r="AM336" s="2" t="str">
        <f>HYPERLINK("https://transparencia.cidesi.mx/comprobantes/2021/CQ2100511 /C8FACTURA_1626367042174_337202531.xml")</f>
        <v>https://transparencia.cidesi.mx/comprobantes/2021/CQ2100511 /C8FACTURA_1626367042174_337202531.xml</v>
      </c>
      <c r="AN336" t="str">
        <f>HYPERLINK("https://transparencia.cidesi.mx/comprobantes/2021/CQ2100511 /C8FACTURA_1626367042174_337202531.xml")</f>
        <v>https://transparencia.cidesi.mx/comprobantes/2021/CQ2100511 /C8FACTURA_1626367042174_337202531.xml</v>
      </c>
      <c r="AO336" t="str">
        <f>HYPERLINK("https://transparencia.cidesi.mx/comprobantes/2021/CQ2100511 /C8FACTURA_1626367042174_337202531.xml")</f>
        <v>https://transparencia.cidesi.mx/comprobantes/2021/CQ2100511 /C8FACTURA_1626367042174_337202531.xml</v>
      </c>
      <c r="AP336" t="s">
        <v>741</v>
      </c>
      <c r="AQ336" t="s">
        <v>742</v>
      </c>
      <c r="AR336" t="s">
        <v>743</v>
      </c>
      <c r="AS336" t="s">
        <v>744</v>
      </c>
      <c r="AT336" s="1">
        <v>44393</v>
      </c>
      <c r="AU336" s="1">
        <v>44397</v>
      </c>
    </row>
    <row r="337" spans="1:47" x14ac:dyDescent="0.3">
      <c r="A337" t="s">
        <v>246</v>
      </c>
      <c r="B337" t="s">
        <v>182</v>
      </c>
      <c r="C337" t="s">
        <v>183</v>
      </c>
      <c r="D337">
        <v>565</v>
      </c>
      <c r="E337" t="s">
        <v>734</v>
      </c>
      <c r="F337" t="s">
        <v>708</v>
      </c>
      <c r="G337" t="s">
        <v>735</v>
      </c>
      <c r="H337" t="s">
        <v>746</v>
      </c>
      <c r="I337" t="s">
        <v>54</v>
      </c>
      <c r="J337" t="s">
        <v>747</v>
      </c>
      <c r="K337" t="s">
        <v>56</v>
      </c>
      <c r="L337">
        <v>0</v>
      </c>
      <c r="M337" t="s">
        <v>73</v>
      </c>
      <c r="N337">
        <v>0</v>
      </c>
      <c r="O337" t="s">
        <v>58</v>
      </c>
      <c r="P337" t="s">
        <v>59</v>
      </c>
      <c r="Q337" t="s">
        <v>738</v>
      </c>
      <c r="R337" t="s">
        <v>747</v>
      </c>
      <c r="S337" s="1">
        <v>44395</v>
      </c>
      <c r="T337" s="1">
        <v>44401</v>
      </c>
      <c r="U337">
        <v>37501</v>
      </c>
      <c r="V337" t="s">
        <v>61</v>
      </c>
      <c r="W337" t="s">
        <v>748</v>
      </c>
      <c r="X337" s="1">
        <v>44407</v>
      </c>
      <c r="Y337" t="s">
        <v>63</v>
      </c>
      <c r="Z337">
        <v>261.20999999999998</v>
      </c>
      <c r="AA337">
        <v>16</v>
      </c>
      <c r="AB337">
        <v>41.79</v>
      </c>
      <c r="AC337">
        <v>30</v>
      </c>
      <c r="AD337">
        <v>333</v>
      </c>
      <c r="AE337">
        <v>3970.31</v>
      </c>
      <c r="AF337">
        <v>7091</v>
      </c>
      <c r="AG337" t="s">
        <v>745</v>
      </c>
      <c r="AH337" t="s">
        <v>65</v>
      </c>
      <c r="AI337" t="s">
        <v>65</v>
      </c>
      <c r="AJ337" t="s">
        <v>66</v>
      </c>
      <c r="AK337" t="s">
        <v>66</v>
      </c>
      <c r="AL337" t="s">
        <v>66</v>
      </c>
      <c r="AM337" s="2" t="str">
        <f>HYPERLINK("https://transparencia.cidesi.mx/comprobantes/2021/CQ2100578 /C1FACTURA_1626367021564_337202531.pdf")</f>
        <v>https://transparencia.cidesi.mx/comprobantes/2021/CQ2100578 /C1FACTURA_1626367021564_337202531.pdf</v>
      </c>
      <c r="AN337" t="str">
        <f>HYPERLINK("https://transparencia.cidesi.mx/comprobantes/2021/CQ2100578 /C1FACTURA_1626367021564_337202531.pdf")</f>
        <v>https://transparencia.cidesi.mx/comprobantes/2021/CQ2100578 /C1FACTURA_1626367021564_337202531.pdf</v>
      </c>
      <c r="AO337" t="str">
        <f>HYPERLINK("https://transparencia.cidesi.mx/comprobantes/2021/CQ2100578 /C169373475.xml")</f>
        <v>https://transparencia.cidesi.mx/comprobantes/2021/CQ2100578 /C169373475.xml</v>
      </c>
      <c r="AP337" t="s">
        <v>749</v>
      </c>
      <c r="AQ337" t="s">
        <v>750</v>
      </c>
      <c r="AR337" t="s">
        <v>742</v>
      </c>
      <c r="AS337" t="s">
        <v>751</v>
      </c>
      <c r="AT337" s="1">
        <v>44410</v>
      </c>
      <c r="AU337" s="1">
        <v>44424</v>
      </c>
    </row>
    <row r="338" spans="1:47" x14ac:dyDescent="0.3">
      <c r="A338" t="s">
        <v>246</v>
      </c>
      <c r="B338" t="s">
        <v>182</v>
      </c>
      <c r="C338" t="s">
        <v>183</v>
      </c>
      <c r="D338">
        <v>565</v>
      </c>
      <c r="E338" t="s">
        <v>734</v>
      </c>
      <c r="F338" t="s">
        <v>708</v>
      </c>
      <c r="G338" t="s">
        <v>735</v>
      </c>
      <c r="H338" t="s">
        <v>746</v>
      </c>
      <c r="I338" t="s">
        <v>54</v>
      </c>
      <c r="J338" t="s">
        <v>747</v>
      </c>
      <c r="K338" t="s">
        <v>56</v>
      </c>
      <c r="L338">
        <v>0</v>
      </c>
      <c r="M338" t="s">
        <v>73</v>
      </c>
      <c r="N338">
        <v>0</v>
      </c>
      <c r="O338" t="s">
        <v>58</v>
      </c>
      <c r="P338" t="s">
        <v>59</v>
      </c>
      <c r="Q338" t="s">
        <v>738</v>
      </c>
      <c r="R338" t="s">
        <v>747</v>
      </c>
      <c r="S338" s="1">
        <v>44395</v>
      </c>
      <c r="T338" s="1">
        <v>44401</v>
      </c>
      <c r="U338">
        <v>37501</v>
      </c>
      <c r="V338" t="s">
        <v>61</v>
      </c>
      <c r="W338" t="s">
        <v>748</v>
      </c>
      <c r="X338" s="1">
        <v>44407</v>
      </c>
      <c r="Y338" t="s">
        <v>63</v>
      </c>
      <c r="Z338">
        <v>365.52</v>
      </c>
      <c r="AA338">
        <v>16</v>
      </c>
      <c r="AB338">
        <v>42.48</v>
      </c>
      <c r="AC338">
        <v>30.8</v>
      </c>
      <c r="AD338">
        <v>438.8</v>
      </c>
      <c r="AE338">
        <v>3970.31</v>
      </c>
      <c r="AF338">
        <v>7091</v>
      </c>
      <c r="AG338" t="s">
        <v>745</v>
      </c>
      <c r="AH338" t="s">
        <v>65</v>
      </c>
      <c r="AI338" t="s">
        <v>65</v>
      </c>
      <c r="AJ338" t="s">
        <v>66</v>
      </c>
      <c r="AK338" t="s">
        <v>66</v>
      </c>
      <c r="AL338" t="s">
        <v>66</v>
      </c>
      <c r="AM338" s="2" t="str">
        <f>HYPERLINK("https://transparencia.cidesi.mx/comprobantes/2021/CQ2100578 /C2ARM1805307B8_B_29.xml")</f>
        <v>https://transparencia.cidesi.mx/comprobantes/2021/CQ2100578 /C2ARM1805307B8_B_29.xml</v>
      </c>
      <c r="AN338" t="str">
        <f>HYPERLINK("https://transparencia.cidesi.mx/comprobantes/2021/CQ2100578 /C2ARM1805307B8_B_29.xml")</f>
        <v>https://transparencia.cidesi.mx/comprobantes/2021/CQ2100578 /C2ARM1805307B8_B_29.xml</v>
      </c>
      <c r="AO338" t="str">
        <f>HYPERLINK("https://transparencia.cidesi.mx/comprobantes/2021/CQ2100578 /C2ARM1805307B8_B_29.xml")</f>
        <v>https://transparencia.cidesi.mx/comprobantes/2021/CQ2100578 /C2ARM1805307B8_B_29.xml</v>
      </c>
      <c r="AP338" t="s">
        <v>749</v>
      </c>
      <c r="AQ338" t="s">
        <v>750</v>
      </c>
      <c r="AR338" t="s">
        <v>742</v>
      </c>
      <c r="AS338" t="s">
        <v>751</v>
      </c>
      <c r="AT338" s="1">
        <v>44410</v>
      </c>
      <c r="AU338" s="1">
        <v>44424</v>
      </c>
    </row>
    <row r="339" spans="1:47" x14ac:dyDescent="0.3">
      <c r="A339" t="s">
        <v>246</v>
      </c>
      <c r="B339" t="s">
        <v>182</v>
      </c>
      <c r="C339" t="s">
        <v>183</v>
      </c>
      <c r="D339">
        <v>565</v>
      </c>
      <c r="E339" t="s">
        <v>734</v>
      </c>
      <c r="F339" t="s">
        <v>708</v>
      </c>
      <c r="G339" t="s">
        <v>735</v>
      </c>
      <c r="H339" t="s">
        <v>746</v>
      </c>
      <c r="I339" t="s">
        <v>54</v>
      </c>
      <c r="J339" t="s">
        <v>747</v>
      </c>
      <c r="K339" t="s">
        <v>56</v>
      </c>
      <c r="L339">
        <v>0</v>
      </c>
      <c r="M339" t="s">
        <v>73</v>
      </c>
      <c r="N339">
        <v>0</v>
      </c>
      <c r="O339" t="s">
        <v>58</v>
      </c>
      <c r="P339" t="s">
        <v>59</v>
      </c>
      <c r="Q339" t="s">
        <v>738</v>
      </c>
      <c r="R339" t="s">
        <v>747</v>
      </c>
      <c r="S339" s="1">
        <v>44395</v>
      </c>
      <c r="T339" s="1">
        <v>44401</v>
      </c>
      <c r="U339">
        <v>37501</v>
      </c>
      <c r="V339" t="s">
        <v>104</v>
      </c>
      <c r="W339" t="s">
        <v>748</v>
      </c>
      <c r="X339" s="1">
        <v>44407</v>
      </c>
      <c r="Y339" t="s">
        <v>63</v>
      </c>
      <c r="Z339">
        <v>1346.19</v>
      </c>
      <c r="AA339">
        <v>16</v>
      </c>
      <c r="AB339">
        <v>209.12</v>
      </c>
      <c r="AC339">
        <v>0</v>
      </c>
      <c r="AD339">
        <v>1555.31</v>
      </c>
      <c r="AE339">
        <v>3970.31</v>
      </c>
      <c r="AF339">
        <v>7091</v>
      </c>
      <c r="AG339" t="s">
        <v>740</v>
      </c>
      <c r="AH339" t="s">
        <v>65</v>
      </c>
      <c r="AI339" t="s">
        <v>65</v>
      </c>
      <c r="AJ339" t="s">
        <v>66</v>
      </c>
      <c r="AK339" t="s">
        <v>66</v>
      </c>
      <c r="AL339" t="s">
        <v>66</v>
      </c>
      <c r="AM339" s="2" t="str">
        <f>HYPERLINK("https://transparencia.cidesi.mx/comprobantes/2021/CQ2100578 /C3Factura-164.xml")</f>
        <v>https://transparencia.cidesi.mx/comprobantes/2021/CQ2100578 /C3Factura-164.xml</v>
      </c>
      <c r="AN339" t="str">
        <f>HYPERLINK("https://transparencia.cidesi.mx/comprobantes/2021/CQ2100578 /C3Factura-164.xml")</f>
        <v>https://transparencia.cidesi.mx/comprobantes/2021/CQ2100578 /C3Factura-164.xml</v>
      </c>
      <c r="AO339" t="str">
        <f>HYPERLINK("https://transparencia.cidesi.mx/comprobantes/2021/CQ2100578 /C3Factura-164.xml")</f>
        <v>https://transparencia.cidesi.mx/comprobantes/2021/CQ2100578 /C3Factura-164.xml</v>
      </c>
      <c r="AP339" t="s">
        <v>749</v>
      </c>
      <c r="AQ339" t="s">
        <v>750</v>
      </c>
      <c r="AR339" t="s">
        <v>742</v>
      </c>
      <c r="AS339" t="s">
        <v>751</v>
      </c>
      <c r="AT339" s="1">
        <v>44410</v>
      </c>
      <c r="AU339" s="1">
        <v>44424</v>
      </c>
    </row>
    <row r="340" spans="1:47" x14ac:dyDescent="0.3">
      <c r="A340" t="s">
        <v>246</v>
      </c>
      <c r="B340" t="s">
        <v>182</v>
      </c>
      <c r="C340" t="s">
        <v>183</v>
      </c>
      <c r="D340">
        <v>565</v>
      </c>
      <c r="E340" t="s">
        <v>734</v>
      </c>
      <c r="F340" t="s">
        <v>708</v>
      </c>
      <c r="G340" t="s">
        <v>735</v>
      </c>
      <c r="H340" t="s">
        <v>746</v>
      </c>
      <c r="I340" t="s">
        <v>54</v>
      </c>
      <c r="J340" t="s">
        <v>747</v>
      </c>
      <c r="K340" t="s">
        <v>56</v>
      </c>
      <c r="L340">
        <v>0</v>
      </c>
      <c r="M340" t="s">
        <v>73</v>
      </c>
      <c r="N340">
        <v>0</v>
      </c>
      <c r="O340" t="s">
        <v>58</v>
      </c>
      <c r="P340" t="s">
        <v>59</v>
      </c>
      <c r="Q340" t="s">
        <v>738</v>
      </c>
      <c r="R340" t="s">
        <v>747</v>
      </c>
      <c r="S340" s="1">
        <v>44395</v>
      </c>
      <c r="T340" s="1">
        <v>44401</v>
      </c>
      <c r="U340">
        <v>37501</v>
      </c>
      <c r="V340" t="s">
        <v>61</v>
      </c>
      <c r="W340" t="s">
        <v>748</v>
      </c>
      <c r="X340" s="1">
        <v>44407</v>
      </c>
      <c r="Y340" t="s">
        <v>63</v>
      </c>
      <c r="Z340">
        <v>392.24</v>
      </c>
      <c r="AA340">
        <v>16</v>
      </c>
      <c r="AB340">
        <v>62.76</v>
      </c>
      <c r="AC340">
        <v>45.5</v>
      </c>
      <c r="AD340">
        <v>500.5</v>
      </c>
      <c r="AE340">
        <v>3970.31</v>
      </c>
      <c r="AF340">
        <v>7091</v>
      </c>
      <c r="AG340" t="s">
        <v>745</v>
      </c>
      <c r="AH340" t="s">
        <v>65</v>
      </c>
      <c r="AI340" t="s">
        <v>65</v>
      </c>
      <c r="AJ340" t="s">
        <v>66</v>
      </c>
      <c r="AK340" t="s">
        <v>66</v>
      </c>
      <c r="AL340" t="s">
        <v>66</v>
      </c>
      <c r="AM340" s="2" t="str">
        <f>HYPERLINK("https://transparencia.cidesi.mx/comprobantes/2021/CQ2100578 /C4RORR791119M94_Factura__37110_CF8CD6B0-AB73-4369-9D97-97A8CFD64771.xml")</f>
        <v>https://transparencia.cidesi.mx/comprobantes/2021/CQ2100578 /C4RORR791119M94_Factura__37110_CF8CD6B0-AB73-4369-9D97-97A8CFD64771.xml</v>
      </c>
      <c r="AN340" t="str">
        <f>HYPERLINK("https://transparencia.cidesi.mx/comprobantes/2021/CQ2100578 /C4RORR791119M94_Factura__37110_CF8CD6B0-AB73-4369-9D97-97A8CFD64771.xml")</f>
        <v>https://transparencia.cidesi.mx/comprobantes/2021/CQ2100578 /C4RORR791119M94_Factura__37110_CF8CD6B0-AB73-4369-9D97-97A8CFD64771.xml</v>
      </c>
      <c r="AO340" t="str">
        <f>HYPERLINK("https://transparencia.cidesi.mx/comprobantes/2021/CQ2100578 /C4RORR791119M94_Factura__37110_CF8CD6B0-AB73-4369-9D97-97A8CFD64771.xml")</f>
        <v>https://transparencia.cidesi.mx/comprobantes/2021/CQ2100578 /C4RORR791119M94_Factura__37110_CF8CD6B0-AB73-4369-9D97-97A8CFD64771.xml</v>
      </c>
      <c r="AP340" t="s">
        <v>749</v>
      </c>
      <c r="AQ340" t="s">
        <v>750</v>
      </c>
      <c r="AR340" t="s">
        <v>742</v>
      </c>
      <c r="AS340" t="s">
        <v>751</v>
      </c>
      <c r="AT340" s="1">
        <v>44410</v>
      </c>
      <c r="AU340" s="1">
        <v>44424</v>
      </c>
    </row>
    <row r="341" spans="1:47" x14ac:dyDescent="0.3">
      <c r="A341" t="s">
        <v>246</v>
      </c>
      <c r="B341" t="s">
        <v>182</v>
      </c>
      <c r="C341" t="s">
        <v>183</v>
      </c>
      <c r="D341">
        <v>565</v>
      </c>
      <c r="E341" t="s">
        <v>734</v>
      </c>
      <c r="F341" t="s">
        <v>708</v>
      </c>
      <c r="G341" t="s">
        <v>735</v>
      </c>
      <c r="H341" t="s">
        <v>746</v>
      </c>
      <c r="I341" t="s">
        <v>54</v>
      </c>
      <c r="J341" t="s">
        <v>747</v>
      </c>
      <c r="K341" t="s">
        <v>56</v>
      </c>
      <c r="L341">
        <v>0</v>
      </c>
      <c r="M341" t="s">
        <v>73</v>
      </c>
      <c r="N341">
        <v>0</v>
      </c>
      <c r="O341" t="s">
        <v>58</v>
      </c>
      <c r="P341" t="s">
        <v>59</v>
      </c>
      <c r="Q341" t="s">
        <v>738</v>
      </c>
      <c r="R341" t="s">
        <v>747</v>
      </c>
      <c r="S341" s="1">
        <v>44395</v>
      </c>
      <c r="T341" s="1">
        <v>44401</v>
      </c>
      <c r="U341">
        <v>37501</v>
      </c>
      <c r="V341" t="s">
        <v>61</v>
      </c>
      <c r="W341" t="s">
        <v>748</v>
      </c>
      <c r="X341" s="1">
        <v>44407</v>
      </c>
      <c r="Y341" t="s">
        <v>63</v>
      </c>
      <c r="Z341">
        <v>89.41</v>
      </c>
      <c r="AA341">
        <v>16</v>
      </c>
      <c r="AB341">
        <v>11.59</v>
      </c>
      <c r="AC341">
        <v>0</v>
      </c>
      <c r="AD341">
        <v>101</v>
      </c>
      <c r="AE341">
        <v>3970.31</v>
      </c>
      <c r="AF341">
        <v>7091</v>
      </c>
      <c r="AG341" t="s">
        <v>745</v>
      </c>
      <c r="AH341" t="s">
        <v>65</v>
      </c>
      <c r="AI341" t="s">
        <v>65</v>
      </c>
      <c r="AJ341" t="s">
        <v>66</v>
      </c>
      <c r="AK341" t="s">
        <v>66</v>
      </c>
      <c r="AL341" t="s">
        <v>66</v>
      </c>
      <c r="AM341" s="2" t="str">
        <f>HYPERLINK("https://transparencia.cidesi.mx/comprobantes/2021/CQ2100578 /C5FACTURA_1627669982053_339238597.xml")</f>
        <v>https://transparencia.cidesi.mx/comprobantes/2021/CQ2100578 /C5FACTURA_1627669982053_339238597.xml</v>
      </c>
      <c r="AN341" t="str">
        <f>HYPERLINK("https://transparencia.cidesi.mx/comprobantes/2021/CQ2100578 /C5FACTURA_1627669982053_339238597.xml")</f>
        <v>https://transparencia.cidesi.mx/comprobantes/2021/CQ2100578 /C5FACTURA_1627669982053_339238597.xml</v>
      </c>
      <c r="AO341" t="str">
        <f>HYPERLINK("https://transparencia.cidesi.mx/comprobantes/2021/CQ2100578 /C5FACTURA_1627669982053_339238597.xml")</f>
        <v>https://transparencia.cidesi.mx/comprobantes/2021/CQ2100578 /C5FACTURA_1627669982053_339238597.xml</v>
      </c>
      <c r="AP341" t="s">
        <v>749</v>
      </c>
      <c r="AQ341" t="s">
        <v>750</v>
      </c>
      <c r="AR341" t="s">
        <v>742</v>
      </c>
      <c r="AS341" t="s">
        <v>751</v>
      </c>
      <c r="AT341" s="1">
        <v>44410</v>
      </c>
      <c r="AU341" s="1">
        <v>44424</v>
      </c>
    </row>
    <row r="342" spans="1:47" x14ac:dyDescent="0.3">
      <c r="A342" t="s">
        <v>246</v>
      </c>
      <c r="B342" t="s">
        <v>182</v>
      </c>
      <c r="C342" t="s">
        <v>183</v>
      </c>
      <c r="D342">
        <v>565</v>
      </c>
      <c r="E342" t="s">
        <v>734</v>
      </c>
      <c r="F342" t="s">
        <v>708</v>
      </c>
      <c r="G342" t="s">
        <v>735</v>
      </c>
      <c r="H342" t="s">
        <v>746</v>
      </c>
      <c r="I342" t="s">
        <v>54</v>
      </c>
      <c r="J342" t="s">
        <v>747</v>
      </c>
      <c r="K342" t="s">
        <v>56</v>
      </c>
      <c r="L342">
        <v>0</v>
      </c>
      <c r="M342" t="s">
        <v>73</v>
      </c>
      <c r="N342">
        <v>0</v>
      </c>
      <c r="O342" t="s">
        <v>58</v>
      </c>
      <c r="P342" t="s">
        <v>59</v>
      </c>
      <c r="Q342" t="s">
        <v>738</v>
      </c>
      <c r="R342" t="s">
        <v>747</v>
      </c>
      <c r="S342" s="1">
        <v>44395</v>
      </c>
      <c r="T342" s="1">
        <v>44401</v>
      </c>
      <c r="U342">
        <v>37501</v>
      </c>
      <c r="V342" t="s">
        <v>61</v>
      </c>
      <c r="W342" t="s">
        <v>748</v>
      </c>
      <c r="X342" s="1">
        <v>44407</v>
      </c>
      <c r="Y342" t="s">
        <v>63</v>
      </c>
      <c r="Z342">
        <v>44.6</v>
      </c>
      <c r="AA342">
        <v>16</v>
      </c>
      <c r="AB342">
        <v>2.9</v>
      </c>
      <c r="AC342">
        <v>0</v>
      </c>
      <c r="AD342">
        <v>47.5</v>
      </c>
      <c r="AE342">
        <v>3970.31</v>
      </c>
      <c r="AF342">
        <v>7091</v>
      </c>
      <c r="AG342" t="s">
        <v>745</v>
      </c>
      <c r="AH342" t="s">
        <v>65</v>
      </c>
      <c r="AI342" t="s">
        <v>65</v>
      </c>
      <c r="AJ342" t="s">
        <v>66</v>
      </c>
      <c r="AK342" t="s">
        <v>66</v>
      </c>
      <c r="AL342" t="s">
        <v>66</v>
      </c>
      <c r="AM342" s="2" t="str">
        <f>HYPERLINK("https://transparencia.cidesi.mx/comprobantes/2021/CQ2100578 /C6FACTURA_1627669389653_339235561.pdf")</f>
        <v>https://transparencia.cidesi.mx/comprobantes/2021/CQ2100578 /C6FACTURA_1627669389653_339235561.pdf</v>
      </c>
      <c r="AN342" t="str">
        <f>HYPERLINK("https://transparencia.cidesi.mx/comprobantes/2021/CQ2100578 /C6FACTURA_1627669389653_339235561.pdf")</f>
        <v>https://transparencia.cidesi.mx/comprobantes/2021/CQ2100578 /C6FACTURA_1627669389653_339235561.pdf</v>
      </c>
      <c r="AO342" t="str">
        <f>HYPERLINK("https://transparencia.cidesi.mx/comprobantes/2021/CQ2100578 /C6FACTURA_1627669555384_339235561.xml")</f>
        <v>https://transparencia.cidesi.mx/comprobantes/2021/CQ2100578 /C6FACTURA_1627669555384_339235561.xml</v>
      </c>
      <c r="AP342" t="s">
        <v>749</v>
      </c>
      <c r="AQ342" t="s">
        <v>750</v>
      </c>
      <c r="AR342" t="s">
        <v>742</v>
      </c>
      <c r="AS342" t="s">
        <v>751</v>
      </c>
      <c r="AT342" s="1">
        <v>44410</v>
      </c>
      <c r="AU342" s="1">
        <v>44424</v>
      </c>
    </row>
    <row r="343" spans="1:47" x14ac:dyDescent="0.3">
      <c r="A343" t="s">
        <v>246</v>
      </c>
      <c r="B343" t="s">
        <v>182</v>
      </c>
      <c r="C343" t="s">
        <v>183</v>
      </c>
      <c r="D343">
        <v>565</v>
      </c>
      <c r="E343" t="s">
        <v>734</v>
      </c>
      <c r="F343" t="s">
        <v>708</v>
      </c>
      <c r="G343" t="s">
        <v>735</v>
      </c>
      <c r="H343" t="s">
        <v>746</v>
      </c>
      <c r="I343" t="s">
        <v>54</v>
      </c>
      <c r="J343" t="s">
        <v>747</v>
      </c>
      <c r="K343" t="s">
        <v>56</v>
      </c>
      <c r="L343">
        <v>0</v>
      </c>
      <c r="M343" t="s">
        <v>73</v>
      </c>
      <c r="N343">
        <v>0</v>
      </c>
      <c r="O343" t="s">
        <v>58</v>
      </c>
      <c r="P343" t="s">
        <v>59</v>
      </c>
      <c r="Q343" t="s">
        <v>738</v>
      </c>
      <c r="R343" t="s">
        <v>747</v>
      </c>
      <c r="S343" s="1">
        <v>44395</v>
      </c>
      <c r="T343" s="1">
        <v>44401</v>
      </c>
      <c r="U343">
        <v>37501</v>
      </c>
      <c r="V343" t="s">
        <v>61</v>
      </c>
      <c r="W343" t="s">
        <v>748</v>
      </c>
      <c r="X343" s="1">
        <v>44407</v>
      </c>
      <c r="Y343" t="s">
        <v>63</v>
      </c>
      <c r="Z343">
        <v>201.28</v>
      </c>
      <c r="AA343">
        <v>16</v>
      </c>
      <c r="AB343">
        <v>7.72</v>
      </c>
      <c r="AC343">
        <v>0</v>
      </c>
      <c r="AD343">
        <v>209</v>
      </c>
      <c r="AE343">
        <v>3970.31</v>
      </c>
      <c r="AF343">
        <v>7091</v>
      </c>
      <c r="AG343" t="s">
        <v>745</v>
      </c>
      <c r="AH343" t="s">
        <v>65</v>
      </c>
      <c r="AI343" t="s">
        <v>65</v>
      </c>
      <c r="AJ343" t="s">
        <v>66</v>
      </c>
      <c r="AK343" t="s">
        <v>66</v>
      </c>
      <c r="AL343" t="s">
        <v>66</v>
      </c>
      <c r="AM343" s="2" t="str">
        <f>HYPERLINK("https://transparencia.cidesi.mx/comprobantes/2021/CQ2100578 /C7FACTURA_1627670157942_339239801.xml")</f>
        <v>https://transparencia.cidesi.mx/comprobantes/2021/CQ2100578 /C7FACTURA_1627670157942_339239801.xml</v>
      </c>
      <c r="AN343" t="str">
        <f>HYPERLINK("https://transparencia.cidesi.mx/comprobantes/2021/CQ2100578 /C7FACTURA_1627670157942_339239801.xml")</f>
        <v>https://transparencia.cidesi.mx/comprobantes/2021/CQ2100578 /C7FACTURA_1627670157942_339239801.xml</v>
      </c>
      <c r="AO343" t="str">
        <f>HYPERLINK("https://transparencia.cidesi.mx/comprobantes/2021/CQ2100578 /C7FACTURA_1627670157942_339239801.xml")</f>
        <v>https://transparencia.cidesi.mx/comprobantes/2021/CQ2100578 /C7FACTURA_1627670157942_339239801.xml</v>
      </c>
      <c r="AP343" t="s">
        <v>749</v>
      </c>
      <c r="AQ343" t="s">
        <v>750</v>
      </c>
      <c r="AR343" t="s">
        <v>742</v>
      </c>
      <c r="AS343" t="s">
        <v>751</v>
      </c>
      <c r="AT343" s="1">
        <v>44410</v>
      </c>
      <c r="AU343" s="1">
        <v>44424</v>
      </c>
    </row>
    <row r="344" spans="1:47" x14ac:dyDescent="0.3">
      <c r="A344" t="s">
        <v>246</v>
      </c>
      <c r="B344" t="s">
        <v>182</v>
      </c>
      <c r="C344" t="s">
        <v>183</v>
      </c>
      <c r="D344">
        <v>565</v>
      </c>
      <c r="E344" t="s">
        <v>734</v>
      </c>
      <c r="F344" t="s">
        <v>708</v>
      </c>
      <c r="G344" t="s">
        <v>735</v>
      </c>
      <c r="H344" t="s">
        <v>746</v>
      </c>
      <c r="I344" t="s">
        <v>54</v>
      </c>
      <c r="J344" t="s">
        <v>747</v>
      </c>
      <c r="K344" t="s">
        <v>56</v>
      </c>
      <c r="L344">
        <v>0</v>
      </c>
      <c r="M344" t="s">
        <v>73</v>
      </c>
      <c r="N344">
        <v>0</v>
      </c>
      <c r="O344" t="s">
        <v>58</v>
      </c>
      <c r="P344" t="s">
        <v>59</v>
      </c>
      <c r="Q344" t="s">
        <v>738</v>
      </c>
      <c r="R344" t="s">
        <v>747</v>
      </c>
      <c r="S344" s="1">
        <v>44395</v>
      </c>
      <c r="T344" s="1">
        <v>44401</v>
      </c>
      <c r="U344">
        <v>37501</v>
      </c>
      <c r="V344" t="s">
        <v>61</v>
      </c>
      <c r="W344" t="s">
        <v>748</v>
      </c>
      <c r="X344" s="1">
        <v>44407</v>
      </c>
      <c r="Y344" t="s">
        <v>63</v>
      </c>
      <c r="Z344">
        <v>72.099999999999994</v>
      </c>
      <c r="AA344">
        <v>16</v>
      </c>
      <c r="AB344">
        <v>2.9</v>
      </c>
      <c r="AC344">
        <v>0</v>
      </c>
      <c r="AD344">
        <v>75</v>
      </c>
      <c r="AE344">
        <v>3970.31</v>
      </c>
      <c r="AF344">
        <v>7091</v>
      </c>
      <c r="AG344" t="s">
        <v>745</v>
      </c>
      <c r="AH344" t="s">
        <v>65</v>
      </c>
      <c r="AI344" t="s">
        <v>65</v>
      </c>
      <c r="AJ344" t="s">
        <v>66</v>
      </c>
      <c r="AK344" t="s">
        <v>66</v>
      </c>
      <c r="AL344" t="s">
        <v>66</v>
      </c>
      <c r="AM344" s="2" t="str">
        <f>HYPERLINK("https://transparencia.cidesi.mx/comprobantes/2021/CQ2100578 /C8FACTURA_1627669779013_339237671.xml")</f>
        <v>https://transparencia.cidesi.mx/comprobantes/2021/CQ2100578 /C8FACTURA_1627669779013_339237671.xml</v>
      </c>
      <c r="AN344" t="str">
        <f>HYPERLINK("https://transparencia.cidesi.mx/comprobantes/2021/CQ2100578 /C8FACTURA_1627669779013_339237671.xml")</f>
        <v>https://transparencia.cidesi.mx/comprobantes/2021/CQ2100578 /C8FACTURA_1627669779013_339237671.xml</v>
      </c>
      <c r="AO344" t="str">
        <f>HYPERLINK("https://transparencia.cidesi.mx/comprobantes/2021/CQ2100578 /C8FACTURA_1627669779013_339237671.xml")</f>
        <v>https://transparencia.cidesi.mx/comprobantes/2021/CQ2100578 /C8FACTURA_1627669779013_339237671.xml</v>
      </c>
      <c r="AP344" t="s">
        <v>749</v>
      </c>
      <c r="AQ344" t="s">
        <v>750</v>
      </c>
      <c r="AR344" t="s">
        <v>742</v>
      </c>
      <c r="AS344" t="s">
        <v>751</v>
      </c>
      <c r="AT344" s="1">
        <v>44410</v>
      </c>
      <c r="AU344" s="1">
        <v>44424</v>
      </c>
    </row>
    <row r="345" spans="1:47" x14ac:dyDescent="0.3">
      <c r="A345" t="s">
        <v>246</v>
      </c>
      <c r="B345" t="s">
        <v>182</v>
      </c>
      <c r="C345" t="s">
        <v>183</v>
      </c>
      <c r="D345">
        <v>565</v>
      </c>
      <c r="E345" t="s">
        <v>734</v>
      </c>
      <c r="F345" t="s">
        <v>708</v>
      </c>
      <c r="G345" t="s">
        <v>735</v>
      </c>
      <c r="H345" t="s">
        <v>746</v>
      </c>
      <c r="I345" t="s">
        <v>54</v>
      </c>
      <c r="J345" t="s">
        <v>747</v>
      </c>
      <c r="K345" t="s">
        <v>56</v>
      </c>
      <c r="L345">
        <v>0</v>
      </c>
      <c r="M345" t="s">
        <v>73</v>
      </c>
      <c r="N345">
        <v>0</v>
      </c>
      <c r="O345" t="s">
        <v>58</v>
      </c>
      <c r="P345" t="s">
        <v>59</v>
      </c>
      <c r="Q345" t="s">
        <v>738</v>
      </c>
      <c r="R345" t="s">
        <v>747</v>
      </c>
      <c r="S345" s="1">
        <v>44395</v>
      </c>
      <c r="T345" s="1">
        <v>44401</v>
      </c>
      <c r="U345">
        <v>37501</v>
      </c>
      <c r="V345" t="s">
        <v>61</v>
      </c>
      <c r="W345" t="s">
        <v>748</v>
      </c>
      <c r="X345" s="1">
        <v>44407</v>
      </c>
      <c r="Y345" t="s">
        <v>63</v>
      </c>
      <c r="Z345">
        <v>369.6</v>
      </c>
      <c r="AA345">
        <v>16</v>
      </c>
      <c r="AB345">
        <v>70.400000000000006</v>
      </c>
      <c r="AC345">
        <v>44</v>
      </c>
      <c r="AD345">
        <v>484</v>
      </c>
      <c r="AE345">
        <v>3970.31</v>
      </c>
      <c r="AF345">
        <v>7091</v>
      </c>
      <c r="AG345" t="s">
        <v>745</v>
      </c>
      <c r="AH345" t="s">
        <v>65</v>
      </c>
      <c r="AI345" t="s">
        <v>65</v>
      </c>
      <c r="AJ345" t="s">
        <v>66</v>
      </c>
      <c r="AK345" t="s">
        <v>66</v>
      </c>
      <c r="AL345" t="s">
        <v>66</v>
      </c>
      <c r="AM345" s="2" t="str">
        <f>HYPERLINK("https://transparencia.cidesi.mx/comprobantes/2021/CQ2100578 /C91TIWEBDF000006468659.xml")</f>
        <v>https://transparencia.cidesi.mx/comprobantes/2021/CQ2100578 /C91TIWEBDF000006468659.xml</v>
      </c>
      <c r="AN345" t="str">
        <f>HYPERLINK("https://transparencia.cidesi.mx/comprobantes/2021/CQ2100578 /C91TIWEBDF000006468659.xml")</f>
        <v>https://transparencia.cidesi.mx/comprobantes/2021/CQ2100578 /C91TIWEBDF000006468659.xml</v>
      </c>
      <c r="AO345" t="str">
        <f>HYPERLINK("https://transparencia.cidesi.mx/comprobantes/2021/CQ2100578 /C91TIWEBDF000006468659.xml")</f>
        <v>https://transparencia.cidesi.mx/comprobantes/2021/CQ2100578 /C91TIWEBDF000006468659.xml</v>
      </c>
      <c r="AP345" t="s">
        <v>749</v>
      </c>
      <c r="AQ345" t="s">
        <v>750</v>
      </c>
      <c r="AR345" t="s">
        <v>742</v>
      </c>
      <c r="AS345" t="s">
        <v>751</v>
      </c>
      <c r="AT345" s="1">
        <v>44410</v>
      </c>
      <c r="AU345" s="1">
        <v>44424</v>
      </c>
    </row>
    <row r="346" spans="1:47" x14ac:dyDescent="0.3">
      <c r="A346" t="s">
        <v>246</v>
      </c>
      <c r="B346" t="s">
        <v>182</v>
      </c>
      <c r="C346" t="s">
        <v>183</v>
      </c>
      <c r="D346">
        <v>565</v>
      </c>
      <c r="E346" t="s">
        <v>734</v>
      </c>
      <c r="F346" t="s">
        <v>708</v>
      </c>
      <c r="G346" t="s">
        <v>735</v>
      </c>
      <c r="H346" t="s">
        <v>746</v>
      </c>
      <c r="I346" t="s">
        <v>54</v>
      </c>
      <c r="J346" t="s">
        <v>747</v>
      </c>
      <c r="K346" t="s">
        <v>56</v>
      </c>
      <c r="L346">
        <v>0</v>
      </c>
      <c r="M346" t="s">
        <v>73</v>
      </c>
      <c r="N346">
        <v>0</v>
      </c>
      <c r="O346" t="s">
        <v>58</v>
      </c>
      <c r="P346" t="s">
        <v>59</v>
      </c>
      <c r="Q346" t="s">
        <v>738</v>
      </c>
      <c r="R346" t="s">
        <v>747</v>
      </c>
      <c r="S346" s="1">
        <v>44395</v>
      </c>
      <c r="T346" s="1">
        <v>44401</v>
      </c>
      <c r="U346">
        <v>37501</v>
      </c>
      <c r="V346" t="s">
        <v>61</v>
      </c>
      <c r="W346" t="s">
        <v>748</v>
      </c>
      <c r="X346" s="1">
        <v>44407</v>
      </c>
      <c r="Y346" t="s">
        <v>63</v>
      </c>
      <c r="Z346">
        <v>195</v>
      </c>
      <c r="AA346">
        <v>16</v>
      </c>
      <c r="AB346">
        <v>31.2</v>
      </c>
      <c r="AC346">
        <v>0</v>
      </c>
      <c r="AD346">
        <v>226.2</v>
      </c>
      <c r="AE346">
        <v>3970.31</v>
      </c>
      <c r="AF346">
        <v>7091</v>
      </c>
      <c r="AG346" t="s">
        <v>745</v>
      </c>
      <c r="AH346" t="s">
        <v>65</v>
      </c>
      <c r="AI346" t="s">
        <v>65</v>
      </c>
      <c r="AJ346" t="s">
        <v>66</v>
      </c>
      <c r="AK346" t="s">
        <v>66</v>
      </c>
      <c r="AL346" t="s">
        <v>66</v>
      </c>
      <c r="AM346" s="2" t="str">
        <f>HYPERLINK("https://transparencia.cidesi.mx/comprobantes/2021/CQ2100578 /C10aaa1d6a2-0b5b-411f-a2af-58471fbf0703 (1).xml")</f>
        <v>https://transparencia.cidesi.mx/comprobantes/2021/CQ2100578 /C10aaa1d6a2-0b5b-411f-a2af-58471fbf0703 (1).xml</v>
      </c>
      <c r="AN346" t="str">
        <f>HYPERLINK("https://transparencia.cidesi.mx/comprobantes/2021/CQ2100578 /C10aaa1d6a2-0b5b-411f-a2af-58471fbf0703 (1).xml")</f>
        <v>https://transparencia.cidesi.mx/comprobantes/2021/CQ2100578 /C10aaa1d6a2-0b5b-411f-a2af-58471fbf0703 (1).xml</v>
      </c>
      <c r="AO346" t="str">
        <f>HYPERLINK("https://transparencia.cidesi.mx/comprobantes/2021/CQ2100578 /C10aaa1d6a2-0b5b-411f-a2af-58471fbf0703 (1).xml")</f>
        <v>https://transparencia.cidesi.mx/comprobantes/2021/CQ2100578 /C10aaa1d6a2-0b5b-411f-a2af-58471fbf0703 (1).xml</v>
      </c>
      <c r="AP346" t="s">
        <v>749</v>
      </c>
      <c r="AQ346" t="s">
        <v>750</v>
      </c>
      <c r="AR346" t="s">
        <v>742</v>
      </c>
      <c r="AS346" t="s">
        <v>751</v>
      </c>
      <c r="AT346" s="1">
        <v>44410</v>
      </c>
      <c r="AU346" s="1">
        <v>44424</v>
      </c>
    </row>
    <row r="347" spans="1:47" x14ac:dyDescent="0.3">
      <c r="A347" t="s">
        <v>246</v>
      </c>
      <c r="B347" t="s">
        <v>182</v>
      </c>
      <c r="C347" t="s">
        <v>183</v>
      </c>
      <c r="D347">
        <v>565</v>
      </c>
      <c r="E347" t="s">
        <v>734</v>
      </c>
      <c r="F347" t="s">
        <v>708</v>
      </c>
      <c r="G347" t="s">
        <v>735</v>
      </c>
      <c r="H347" t="s">
        <v>752</v>
      </c>
      <c r="I347" t="s">
        <v>54</v>
      </c>
      <c r="J347" t="s">
        <v>753</v>
      </c>
      <c r="K347" t="s">
        <v>56</v>
      </c>
      <c r="L347">
        <v>0</v>
      </c>
      <c r="M347" t="s">
        <v>73</v>
      </c>
      <c r="N347">
        <v>0</v>
      </c>
      <c r="O347" t="s">
        <v>58</v>
      </c>
      <c r="P347" t="s">
        <v>59</v>
      </c>
      <c r="Q347" t="s">
        <v>108</v>
      </c>
      <c r="R347" t="s">
        <v>753</v>
      </c>
      <c r="S347" s="1">
        <v>44414</v>
      </c>
      <c r="T347" s="1">
        <v>44414</v>
      </c>
      <c r="U347">
        <v>37501</v>
      </c>
      <c r="V347" t="s">
        <v>61</v>
      </c>
      <c r="W347" t="s">
        <v>754</v>
      </c>
      <c r="X347" s="1">
        <v>44420</v>
      </c>
      <c r="Y347" t="s">
        <v>63</v>
      </c>
      <c r="Z347">
        <v>0.01</v>
      </c>
      <c r="AA347">
        <v>0</v>
      </c>
      <c r="AB347">
        <v>0</v>
      </c>
      <c r="AC347">
        <v>0</v>
      </c>
      <c r="AD347">
        <v>0.01</v>
      </c>
      <c r="AE347">
        <v>0.01</v>
      </c>
      <c r="AF347">
        <v>545</v>
      </c>
      <c r="AG347" t="s">
        <v>745</v>
      </c>
      <c r="AH347" t="s">
        <v>66</v>
      </c>
      <c r="AI347" t="s">
        <v>66</v>
      </c>
      <c r="AJ347" t="s">
        <v>66</v>
      </c>
      <c r="AK347" t="s">
        <v>66</v>
      </c>
      <c r="AL347" t="s">
        <v>66</v>
      </c>
      <c r="AM347" s="2" t="s">
        <v>73</v>
      </c>
      <c r="AN347" t="s">
        <v>73</v>
      </c>
      <c r="AO347" t="s">
        <v>73</v>
      </c>
      <c r="AP347" t="s">
        <v>755</v>
      </c>
      <c r="AQ347" t="s">
        <v>756</v>
      </c>
      <c r="AR347" t="s">
        <v>757</v>
      </c>
      <c r="AS347" t="s">
        <v>758</v>
      </c>
      <c r="AT347" s="1">
        <v>44424</v>
      </c>
      <c r="AU347" s="1">
        <v>44425</v>
      </c>
    </row>
    <row r="348" spans="1:47" x14ac:dyDescent="0.3">
      <c r="A348" t="s">
        <v>246</v>
      </c>
      <c r="B348" t="s">
        <v>182</v>
      </c>
      <c r="C348" t="s">
        <v>183</v>
      </c>
      <c r="D348">
        <v>565</v>
      </c>
      <c r="E348" t="s">
        <v>734</v>
      </c>
      <c r="F348" t="s">
        <v>708</v>
      </c>
      <c r="G348" t="s">
        <v>735</v>
      </c>
      <c r="H348" t="s">
        <v>759</v>
      </c>
      <c r="I348" t="s">
        <v>54</v>
      </c>
      <c r="J348" t="s">
        <v>760</v>
      </c>
      <c r="K348" t="s">
        <v>56</v>
      </c>
      <c r="L348">
        <v>0</v>
      </c>
      <c r="M348" t="s">
        <v>73</v>
      </c>
      <c r="N348">
        <v>0</v>
      </c>
      <c r="O348" t="s">
        <v>58</v>
      </c>
      <c r="P348" t="s">
        <v>59</v>
      </c>
      <c r="Q348" t="s">
        <v>108</v>
      </c>
      <c r="R348" t="s">
        <v>760</v>
      </c>
      <c r="S348" s="1">
        <v>44445</v>
      </c>
      <c r="T348" s="1">
        <v>44445</v>
      </c>
      <c r="U348">
        <v>37501</v>
      </c>
      <c r="V348" t="s">
        <v>61</v>
      </c>
      <c r="W348" t="s">
        <v>761</v>
      </c>
      <c r="X348" s="1">
        <v>44452</v>
      </c>
      <c r="Y348" t="s">
        <v>207</v>
      </c>
      <c r="Z348">
        <v>77.59</v>
      </c>
      <c r="AA348">
        <v>16</v>
      </c>
      <c r="AB348">
        <v>12.41</v>
      </c>
      <c r="AC348">
        <v>0</v>
      </c>
      <c r="AD348">
        <v>90</v>
      </c>
      <c r="AE348">
        <v>493.26</v>
      </c>
      <c r="AF348">
        <v>545</v>
      </c>
      <c r="AG348" t="s">
        <v>745</v>
      </c>
      <c r="AH348" t="s">
        <v>65</v>
      </c>
      <c r="AI348" t="s">
        <v>65</v>
      </c>
      <c r="AJ348" t="s">
        <v>66</v>
      </c>
      <c r="AK348" t="s">
        <v>66</v>
      </c>
      <c r="AL348" t="s">
        <v>66</v>
      </c>
      <c r="AM348" s="2" t="str">
        <f>HYPERLINK("https://transparencia.cidesi.mx/comprobantes/2021/CQ2100791 /C1RORR791119M94_Factura__38159_1E131E38-4BAB-4E11-A6E9-2EC79B611E46.xml")</f>
        <v>https://transparencia.cidesi.mx/comprobantes/2021/CQ2100791 /C1RORR791119M94_Factura__38159_1E131E38-4BAB-4E11-A6E9-2EC79B611E46.xml</v>
      </c>
      <c r="AN348" t="str">
        <f>HYPERLINK("https://transparencia.cidesi.mx/comprobantes/2021/CQ2100791 /C1RORR791119M94_Factura__38159_1E131E38-4BAB-4E11-A6E9-2EC79B611E46.xml")</f>
        <v>https://transparencia.cidesi.mx/comprobantes/2021/CQ2100791 /C1RORR791119M94_Factura__38159_1E131E38-4BAB-4E11-A6E9-2EC79B611E46.xml</v>
      </c>
      <c r="AO348" t="str">
        <f>HYPERLINK("https://transparencia.cidesi.mx/comprobantes/2021/CQ2100791 /C1RORR791119M94_Factura__38159_1E131E38-4BAB-4E11-A6E9-2EC79B611E46.xml")</f>
        <v>https://transparencia.cidesi.mx/comprobantes/2021/CQ2100791 /C1RORR791119M94_Factura__38159_1E131E38-4BAB-4E11-A6E9-2EC79B611E46.xml</v>
      </c>
      <c r="AP348" t="s">
        <v>762</v>
      </c>
      <c r="AQ348" t="s">
        <v>742</v>
      </c>
      <c r="AR348" t="s">
        <v>742</v>
      </c>
      <c r="AS348" t="s">
        <v>763</v>
      </c>
      <c r="AT348" s="1">
        <v>44453</v>
      </c>
      <c r="AU348" t="s">
        <v>73</v>
      </c>
    </row>
    <row r="349" spans="1:47" x14ac:dyDescent="0.3">
      <c r="A349" t="s">
        <v>246</v>
      </c>
      <c r="B349" t="s">
        <v>182</v>
      </c>
      <c r="C349" t="s">
        <v>183</v>
      </c>
      <c r="D349">
        <v>565</v>
      </c>
      <c r="E349" t="s">
        <v>734</v>
      </c>
      <c r="F349" t="s">
        <v>708</v>
      </c>
      <c r="G349" t="s">
        <v>735</v>
      </c>
      <c r="H349" t="s">
        <v>759</v>
      </c>
      <c r="I349" t="s">
        <v>54</v>
      </c>
      <c r="J349" t="s">
        <v>760</v>
      </c>
      <c r="K349" t="s">
        <v>56</v>
      </c>
      <c r="L349">
        <v>0</v>
      </c>
      <c r="M349" t="s">
        <v>73</v>
      </c>
      <c r="N349">
        <v>0</v>
      </c>
      <c r="O349" t="s">
        <v>58</v>
      </c>
      <c r="P349" t="s">
        <v>59</v>
      </c>
      <c r="Q349" t="s">
        <v>108</v>
      </c>
      <c r="R349" t="s">
        <v>760</v>
      </c>
      <c r="S349" s="1">
        <v>44445</v>
      </c>
      <c r="T349" s="1">
        <v>44445</v>
      </c>
      <c r="U349">
        <v>37501</v>
      </c>
      <c r="V349" t="s">
        <v>61</v>
      </c>
      <c r="W349" t="s">
        <v>761</v>
      </c>
      <c r="X349" s="1">
        <v>44452</v>
      </c>
      <c r="Y349" t="s">
        <v>207</v>
      </c>
      <c r="Z349">
        <v>93.21</v>
      </c>
      <c r="AA349">
        <v>16</v>
      </c>
      <c r="AB349">
        <v>5.79</v>
      </c>
      <c r="AC349">
        <v>0</v>
      </c>
      <c r="AD349">
        <v>99</v>
      </c>
      <c r="AE349">
        <v>493.26</v>
      </c>
      <c r="AF349">
        <v>545</v>
      </c>
      <c r="AG349" t="s">
        <v>745</v>
      </c>
      <c r="AH349" t="s">
        <v>65</v>
      </c>
      <c r="AI349" t="s">
        <v>65</v>
      </c>
      <c r="AJ349" t="s">
        <v>66</v>
      </c>
      <c r="AK349" t="s">
        <v>66</v>
      </c>
      <c r="AL349" t="s">
        <v>66</v>
      </c>
      <c r="AM349" s="2" t="str">
        <f>HYPERLINK("https://transparencia.cidesi.mx/comprobantes/2021/CQ2100791 /C2FACTURA_1631545867888_344549641.xml")</f>
        <v>https://transparencia.cidesi.mx/comprobantes/2021/CQ2100791 /C2FACTURA_1631545867888_344549641.xml</v>
      </c>
      <c r="AN349" t="str">
        <f>HYPERLINK("https://transparencia.cidesi.mx/comprobantes/2021/CQ2100791 /C2FACTURA_1631545867888_344549641.xml")</f>
        <v>https://transparencia.cidesi.mx/comprobantes/2021/CQ2100791 /C2FACTURA_1631545867888_344549641.xml</v>
      </c>
      <c r="AO349" t="str">
        <f>HYPERLINK("https://transparencia.cidesi.mx/comprobantes/2021/CQ2100791 /C2FACTURA_1631545867888_344549641.xml")</f>
        <v>https://transparencia.cidesi.mx/comprobantes/2021/CQ2100791 /C2FACTURA_1631545867888_344549641.xml</v>
      </c>
      <c r="AP349" t="s">
        <v>762</v>
      </c>
      <c r="AQ349" t="s">
        <v>742</v>
      </c>
      <c r="AR349" t="s">
        <v>742</v>
      </c>
      <c r="AS349" t="s">
        <v>763</v>
      </c>
      <c r="AT349" s="1">
        <v>44453</v>
      </c>
      <c r="AU349" t="s">
        <v>73</v>
      </c>
    </row>
    <row r="350" spans="1:47" x14ac:dyDescent="0.3">
      <c r="A350" t="s">
        <v>246</v>
      </c>
      <c r="B350" t="s">
        <v>182</v>
      </c>
      <c r="C350" t="s">
        <v>183</v>
      </c>
      <c r="D350">
        <v>565</v>
      </c>
      <c r="E350" t="s">
        <v>734</v>
      </c>
      <c r="F350" t="s">
        <v>708</v>
      </c>
      <c r="G350" t="s">
        <v>735</v>
      </c>
      <c r="H350" t="s">
        <v>759</v>
      </c>
      <c r="I350" t="s">
        <v>54</v>
      </c>
      <c r="J350" t="s">
        <v>760</v>
      </c>
      <c r="K350" t="s">
        <v>56</v>
      </c>
      <c r="L350">
        <v>0</v>
      </c>
      <c r="M350" t="s">
        <v>73</v>
      </c>
      <c r="N350">
        <v>0</v>
      </c>
      <c r="O350" t="s">
        <v>58</v>
      </c>
      <c r="P350" t="s">
        <v>59</v>
      </c>
      <c r="Q350" t="s">
        <v>108</v>
      </c>
      <c r="R350" t="s">
        <v>760</v>
      </c>
      <c r="S350" s="1">
        <v>44445</v>
      </c>
      <c r="T350" s="1">
        <v>44445</v>
      </c>
      <c r="U350">
        <v>37501</v>
      </c>
      <c r="V350" t="s">
        <v>61</v>
      </c>
      <c r="W350" t="s">
        <v>761</v>
      </c>
      <c r="X350" s="1">
        <v>44452</v>
      </c>
      <c r="Y350" t="s">
        <v>207</v>
      </c>
      <c r="Z350">
        <v>232.34</v>
      </c>
      <c r="AA350">
        <v>16</v>
      </c>
      <c r="AB350">
        <v>44.26</v>
      </c>
      <c r="AC350">
        <v>27.66</v>
      </c>
      <c r="AD350">
        <v>304.26</v>
      </c>
      <c r="AE350">
        <v>493.26</v>
      </c>
      <c r="AF350">
        <v>545</v>
      </c>
      <c r="AG350" t="s">
        <v>745</v>
      </c>
      <c r="AH350" t="s">
        <v>65</v>
      </c>
      <c r="AI350" t="s">
        <v>66</v>
      </c>
      <c r="AJ350" t="s">
        <v>66</v>
      </c>
      <c r="AK350" t="s">
        <v>66</v>
      </c>
      <c r="AL350" t="s">
        <v>66</v>
      </c>
      <c r="AM350" s="2" t="s">
        <v>73</v>
      </c>
      <c r="AN350" t="s">
        <v>73</v>
      </c>
      <c r="AO350" t="s">
        <v>73</v>
      </c>
      <c r="AP350" t="s">
        <v>762</v>
      </c>
      <c r="AQ350" t="s">
        <v>742</v>
      </c>
      <c r="AR350" t="s">
        <v>742</v>
      </c>
      <c r="AS350" t="s">
        <v>763</v>
      </c>
      <c r="AT350" s="1">
        <v>44453</v>
      </c>
      <c r="AU350" t="s">
        <v>73</v>
      </c>
    </row>
    <row r="351" spans="1:47" x14ac:dyDescent="0.3">
      <c r="A351" t="s">
        <v>246</v>
      </c>
      <c r="B351" t="s">
        <v>182</v>
      </c>
      <c r="C351" t="s">
        <v>183</v>
      </c>
      <c r="D351">
        <v>565</v>
      </c>
      <c r="E351" t="s">
        <v>734</v>
      </c>
      <c r="F351" t="s">
        <v>708</v>
      </c>
      <c r="G351" t="s">
        <v>735</v>
      </c>
      <c r="H351" t="s">
        <v>764</v>
      </c>
      <c r="I351" t="s">
        <v>54</v>
      </c>
      <c r="J351" t="s">
        <v>765</v>
      </c>
      <c r="K351" t="s">
        <v>56</v>
      </c>
      <c r="L351">
        <v>0</v>
      </c>
      <c r="M351" t="s">
        <v>73</v>
      </c>
      <c r="N351">
        <v>0</v>
      </c>
      <c r="O351" t="s">
        <v>58</v>
      </c>
      <c r="P351" t="s">
        <v>59</v>
      </c>
      <c r="Q351" t="s">
        <v>216</v>
      </c>
      <c r="R351" t="s">
        <v>765</v>
      </c>
      <c r="S351" s="1">
        <v>44461</v>
      </c>
      <c r="T351" s="1">
        <v>44461</v>
      </c>
      <c r="U351">
        <v>37501</v>
      </c>
      <c r="V351" t="s">
        <v>61</v>
      </c>
      <c r="W351" t="s">
        <v>766</v>
      </c>
      <c r="X351" s="1">
        <v>44467</v>
      </c>
      <c r="Y351" t="s">
        <v>63</v>
      </c>
      <c r="Z351">
        <v>149.56</v>
      </c>
      <c r="AA351">
        <v>16</v>
      </c>
      <c r="AB351">
        <v>11.44</v>
      </c>
      <c r="AC351">
        <v>0</v>
      </c>
      <c r="AD351">
        <v>161</v>
      </c>
      <c r="AE351">
        <v>545</v>
      </c>
      <c r="AF351">
        <v>545</v>
      </c>
      <c r="AG351" t="s">
        <v>745</v>
      </c>
      <c r="AH351" t="s">
        <v>65</v>
      </c>
      <c r="AI351" t="s">
        <v>65</v>
      </c>
      <c r="AJ351" t="s">
        <v>66</v>
      </c>
      <c r="AK351" t="s">
        <v>66</v>
      </c>
      <c r="AL351" t="s">
        <v>66</v>
      </c>
      <c r="AM351" s="2" t="str">
        <f>HYPERLINK("https://transparencia.cidesi.mx/comprobantes/2021/CQ2100905 /C1FACTURA_1632853087838_346360715.xml")</f>
        <v>https://transparencia.cidesi.mx/comprobantes/2021/CQ2100905 /C1FACTURA_1632853087838_346360715.xml</v>
      </c>
      <c r="AN351" t="str">
        <f>HYPERLINK("https://transparencia.cidesi.mx/comprobantes/2021/CQ2100905 /C1FACTURA_1632853087838_346360715.xml")</f>
        <v>https://transparencia.cidesi.mx/comprobantes/2021/CQ2100905 /C1FACTURA_1632853087838_346360715.xml</v>
      </c>
      <c r="AO351" t="str">
        <f>HYPERLINK("https://transparencia.cidesi.mx/comprobantes/2021/CQ2100905 /C1FACTURA_1632853087838_346360715.xml")</f>
        <v>https://transparencia.cidesi.mx/comprobantes/2021/CQ2100905 /C1FACTURA_1632853087838_346360715.xml</v>
      </c>
      <c r="AP351" t="s">
        <v>767</v>
      </c>
      <c r="AQ351" t="s">
        <v>742</v>
      </c>
      <c r="AR351" t="s">
        <v>742</v>
      </c>
      <c r="AS351" t="s">
        <v>751</v>
      </c>
      <c r="AT351" s="1">
        <v>44468</v>
      </c>
      <c r="AU351" s="1">
        <v>44473</v>
      </c>
    </row>
    <row r="352" spans="1:47" x14ac:dyDescent="0.3">
      <c r="A352" t="s">
        <v>246</v>
      </c>
      <c r="B352" t="s">
        <v>182</v>
      </c>
      <c r="C352" t="s">
        <v>183</v>
      </c>
      <c r="D352">
        <v>565</v>
      </c>
      <c r="E352" t="s">
        <v>734</v>
      </c>
      <c r="F352" t="s">
        <v>708</v>
      </c>
      <c r="G352" t="s">
        <v>735</v>
      </c>
      <c r="H352" t="s">
        <v>764</v>
      </c>
      <c r="I352" t="s">
        <v>54</v>
      </c>
      <c r="J352" t="s">
        <v>765</v>
      </c>
      <c r="K352" t="s">
        <v>56</v>
      </c>
      <c r="L352">
        <v>0</v>
      </c>
      <c r="M352" t="s">
        <v>73</v>
      </c>
      <c r="N352">
        <v>0</v>
      </c>
      <c r="O352" t="s">
        <v>58</v>
      </c>
      <c r="P352" t="s">
        <v>59</v>
      </c>
      <c r="Q352" t="s">
        <v>216</v>
      </c>
      <c r="R352" t="s">
        <v>765</v>
      </c>
      <c r="S352" s="1">
        <v>44461</v>
      </c>
      <c r="T352" s="1">
        <v>44461</v>
      </c>
      <c r="U352">
        <v>37501</v>
      </c>
      <c r="V352" t="s">
        <v>61</v>
      </c>
      <c r="W352" t="s">
        <v>766</v>
      </c>
      <c r="X352" s="1">
        <v>44467</v>
      </c>
      <c r="Y352" t="s">
        <v>63</v>
      </c>
      <c r="Z352">
        <v>322.56</v>
      </c>
      <c r="AA352">
        <v>16</v>
      </c>
      <c r="AB352">
        <v>61.44</v>
      </c>
      <c r="AC352">
        <v>0</v>
      </c>
      <c r="AD352">
        <v>384</v>
      </c>
      <c r="AE352">
        <v>545</v>
      </c>
      <c r="AF352">
        <v>545</v>
      </c>
      <c r="AG352" t="s">
        <v>745</v>
      </c>
      <c r="AH352" t="s">
        <v>65</v>
      </c>
      <c r="AI352" t="s">
        <v>65</v>
      </c>
      <c r="AJ352" t="s">
        <v>66</v>
      </c>
      <c r="AK352" t="s">
        <v>66</v>
      </c>
      <c r="AL352" t="s">
        <v>66</v>
      </c>
      <c r="AM352" s="2" t="str">
        <f>HYPERLINK("https://transparencia.cidesi.mx/comprobantes/2021/CQ2100905 /C2CID840309UG7F0000000213.xml")</f>
        <v>https://transparencia.cidesi.mx/comprobantes/2021/CQ2100905 /C2CID840309UG7F0000000213.xml</v>
      </c>
      <c r="AN352" t="str">
        <f>HYPERLINK("https://transparencia.cidesi.mx/comprobantes/2021/CQ2100905 /C2CID840309UG7F0000000213.xml")</f>
        <v>https://transparencia.cidesi.mx/comprobantes/2021/CQ2100905 /C2CID840309UG7F0000000213.xml</v>
      </c>
      <c r="AO352" t="str">
        <f>HYPERLINK("https://transparencia.cidesi.mx/comprobantes/2021/CQ2100905 /C2CID840309UG7F0000000213.xml")</f>
        <v>https://transparencia.cidesi.mx/comprobantes/2021/CQ2100905 /C2CID840309UG7F0000000213.xml</v>
      </c>
      <c r="AP352" t="s">
        <v>767</v>
      </c>
      <c r="AQ352" t="s">
        <v>742</v>
      </c>
      <c r="AR352" t="s">
        <v>742</v>
      </c>
      <c r="AS352" t="s">
        <v>751</v>
      </c>
      <c r="AT352" s="1">
        <v>44468</v>
      </c>
      <c r="AU352" s="1">
        <v>44473</v>
      </c>
    </row>
    <row r="353" spans="1:47" x14ac:dyDescent="0.3">
      <c r="A353" t="s">
        <v>47</v>
      </c>
      <c r="B353" t="s">
        <v>48</v>
      </c>
      <c r="C353" t="s">
        <v>49</v>
      </c>
      <c r="D353">
        <v>572</v>
      </c>
      <c r="E353" t="s">
        <v>768</v>
      </c>
      <c r="F353" t="s">
        <v>769</v>
      </c>
      <c r="G353" t="s">
        <v>770</v>
      </c>
      <c r="H353" t="s">
        <v>771</v>
      </c>
      <c r="I353" t="s">
        <v>54</v>
      </c>
      <c r="J353" t="s">
        <v>772</v>
      </c>
      <c r="K353" t="s">
        <v>56</v>
      </c>
      <c r="L353">
        <v>0</v>
      </c>
      <c r="M353" t="s">
        <v>73</v>
      </c>
      <c r="N353">
        <v>0</v>
      </c>
      <c r="O353" t="s">
        <v>58</v>
      </c>
      <c r="P353" t="s">
        <v>59</v>
      </c>
      <c r="Q353" t="s">
        <v>773</v>
      </c>
      <c r="R353" t="s">
        <v>772</v>
      </c>
      <c r="S353" s="1">
        <v>44411</v>
      </c>
      <c r="T353" s="1">
        <v>44414</v>
      </c>
      <c r="U353">
        <v>37501</v>
      </c>
      <c r="V353" t="s">
        <v>61</v>
      </c>
      <c r="W353" t="s">
        <v>774</v>
      </c>
      <c r="X353" s="1">
        <v>44435</v>
      </c>
      <c r="Y353" t="s">
        <v>63</v>
      </c>
      <c r="Z353">
        <v>86.2</v>
      </c>
      <c r="AA353">
        <v>16</v>
      </c>
      <c r="AB353">
        <v>13.79</v>
      </c>
      <c r="AC353">
        <v>0</v>
      </c>
      <c r="AD353">
        <v>99.99</v>
      </c>
      <c r="AE353">
        <v>3579.38</v>
      </c>
      <c r="AF353">
        <v>3818</v>
      </c>
      <c r="AG353" t="s">
        <v>775</v>
      </c>
      <c r="AH353" t="s">
        <v>66</v>
      </c>
      <c r="AI353" t="s">
        <v>65</v>
      </c>
      <c r="AJ353" t="s">
        <v>66</v>
      </c>
      <c r="AK353" t="s">
        <v>66</v>
      </c>
      <c r="AL353" t="s">
        <v>66</v>
      </c>
      <c r="AM353" s="2" t="str">
        <f>HYPERLINK("https://transparencia.cidesi.mx/comprobantes/2021/CQ2100697 /C15051_HAMP810719TM4.pdf")</f>
        <v>https://transparencia.cidesi.mx/comprobantes/2021/CQ2100697 /C15051_HAMP810719TM4.pdf</v>
      </c>
      <c r="AN353" t="str">
        <f>HYPERLINK("https://transparencia.cidesi.mx/comprobantes/2021/CQ2100697 /C15051_HAMP810719TM4.pdf")</f>
        <v>https://transparencia.cidesi.mx/comprobantes/2021/CQ2100697 /C15051_HAMP810719TM4.pdf</v>
      </c>
      <c r="AO353" t="str">
        <f>HYPERLINK("https://transparencia.cidesi.mx/comprobantes/2021/CQ2100697 /C15051_HAMP810719TM4.xml")</f>
        <v>https://transparencia.cidesi.mx/comprobantes/2021/CQ2100697 /C15051_HAMP810719TM4.xml</v>
      </c>
      <c r="AP353" t="s">
        <v>776</v>
      </c>
      <c r="AQ353" t="s">
        <v>777</v>
      </c>
      <c r="AR353" t="s">
        <v>778</v>
      </c>
      <c r="AS353" t="s">
        <v>779</v>
      </c>
      <c r="AT353" s="1">
        <v>44435</v>
      </c>
      <c r="AU353" s="1">
        <v>44438</v>
      </c>
    </row>
    <row r="354" spans="1:47" x14ac:dyDescent="0.3">
      <c r="A354" t="s">
        <v>47</v>
      </c>
      <c r="B354" t="s">
        <v>48</v>
      </c>
      <c r="C354" t="s">
        <v>49</v>
      </c>
      <c r="D354">
        <v>572</v>
      </c>
      <c r="E354" t="s">
        <v>768</v>
      </c>
      <c r="F354" t="s">
        <v>769</v>
      </c>
      <c r="G354" t="s">
        <v>770</v>
      </c>
      <c r="H354" t="s">
        <v>771</v>
      </c>
      <c r="I354" t="s">
        <v>54</v>
      </c>
      <c r="J354" t="s">
        <v>772</v>
      </c>
      <c r="K354" t="s">
        <v>56</v>
      </c>
      <c r="L354">
        <v>0</v>
      </c>
      <c r="M354" t="s">
        <v>73</v>
      </c>
      <c r="N354">
        <v>0</v>
      </c>
      <c r="O354" t="s">
        <v>58</v>
      </c>
      <c r="P354" t="s">
        <v>59</v>
      </c>
      <c r="Q354" t="s">
        <v>773</v>
      </c>
      <c r="R354" t="s">
        <v>772</v>
      </c>
      <c r="S354" s="1">
        <v>44411</v>
      </c>
      <c r="T354" s="1">
        <v>44414</v>
      </c>
      <c r="U354">
        <v>37501</v>
      </c>
      <c r="V354" t="s">
        <v>61</v>
      </c>
      <c r="W354" t="s">
        <v>774</v>
      </c>
      <c r="X354" s="1">
        <v>44435</v>
      </c>
      <c r="Y354" t="s">
        <v>63</v>
      </c>
      <c r="Z354">
        <v>87.93</v>
      </c>
      <c r="AA354">
        <v>16</v>
      </c>
      <c r="AB354">
        <v>14.07</v>
      </c>
      <c r="AC354">
        <v>0</v>
      </c>
      <c r="AD354">
        <v>102</v>
      </c>
      <c r="AE354">
        <v>3579.38</v>
      </c>
      <c r="AF354">
        <v>3818</v>
      </c>
      <c r="AG354" t="s">
        <v>775</v>
      </c>
      <c r="AH354" t="s">
        <v>65</v>
      </c>
      <c r="AI354" t="s">
        <v>65</v>
      </c>
      <c r="AJ354" t="s">
        <v>66</v>
      </c>
      <c r="AK354" t="s">
        <v>66</v>
      </c>
      <c r="AL354" t="s">
        <v>66</v>
      </c>
      <c r="AM354" s="2" t="str">
        <f>HYPERLINK("https://transparencia.cidesi.mx/comprobantes/2021/CQ2100697 /C223330_SAVJ751211LL1.pdf")</f>
        <v>https://transparencia.cidesi.mx/comprobantes/2021/CQ2100697 /C223330_SAVJ751211LL1.pdf</v>
      </c>
      <c r="AN354" t="str">
        <f>HYPERLINK("https://transparencia.cidesi.mx/comprobantes/2021/CQ2100697 /C223330_SAVJ751211LL1.pdf")</f>
        <v>https://transparencia.cidesi.mx/comprobantes/2021/CQ2100697 /C223330_SAVJ751211LL1.pdf</v>
      </c>
      <c r="AO354" t="str">
        <f>HYPERLINK("https://transparencia.cidesi.mx/comprobantes/2021/CQ2100697 /C223330_SAVJ751211LL1.xml")</f>
        <v>https://transparencia.cidesi.mx/comprobantes/2021/CQ2100697 /C223330_SAVJ751211LL1.xml</v>
      </c>
      <c r="AP354" t="s">
        <v>776</v>
      </c>
      <c r="AQ354" t="s">
        <v>777</v>
      </c>
      <c r="AR354" t="s">
        <v>778</v>
      </c>
      <c r="AS354" t="s">
        <v>779</v>
      </c>
      <c r="AT354" s="1">
        <v>44435</v>
      </c>
      <c r="AU354" s="1">
        <v>44438</v>
      </c>
    </row>
    <row r="355" spans="1:47" x14ac:dyDescent="0.3">
      <c r="A355" t="s">
        <v>47</v>
      </c>
      <c r="B355" t="s">
        <v>48</v>
      </c>
      <c r="C355" t="s">
        <v>49</v>
      </c>
      <c r="D355">
        <v>572</v>
      </c>
      <c r="E355" t="s">
        <v>768</v>
      </c>
      <c r="F355" t="s">
        <v>769</v>
      </c>
      <c r="G355" t="s">
        <v>770</v>
      </c>
      <c r="H355" t="s">
        <v>771</v>
      </c>
      <c r="I355" t="s">
        <v>54</v>
      </c>
      <c r="J355" t="s">
        <v>772</v>
      </c>
      <c r="K355" t="s">
        <v>56</v>
      </c>
      <c r="L355">
        <v>0</v>
      </c>
      <c r="M355" t="s">
        <v>73</v>
      </c>
      <c r="N355">
        <v>0</v>
      </c>
      <c r="O355" t="s">
        <v>58</v>
      </c>
      <c r="P355" t="s">
        <v>59</v>
      </c>
      <c r="Q355" t="s">
        <v>773</v>
      </c>
      <c r="R355" t="s">
        <v>772</v>
      </c>
      <c r="S355" s="1">
        <v>44411</v>
      </c>
      <c r="T355" s="1">
        <v>44414</v>
      </c>
      <c r="U355">
        <v>37501</v>
      </c>
      <c r="V355" t="s">
        <v>61</v>
      </c>
      <c r="W355" t="s">
        <v>774</v>
      </c>
      <c r="X355" s="1">
        <v>44435</v>
      </c>
      <c r="Y355" t="s">
        <v>63</v>
      </c>
      <c r="Z355">
        <v>111.21</v>
      </c>
      <c r="AA355">
        <v>16</v>
      </c>
      <c r="AB355">
        <v>17.97</v>
      </c>
      <c r="AC355">
        <v>13</v>
      </c>
      <c r="AD355">
        <v>142.18</v>
      </c>
      <c r="AE355">
        <v>3579.38</v>
      </c>
      <c r="AF355">
        <v>3818</v>
      </c>
      <c r="AG355" t="s">
        <v>775</v>
      </c>
      <c r="AH355" t="s">
        <v>65</v>
      </c>
      <c r="AI355" t="s">
        <v>65</v>
      </c>
      <c r="AJ355" t="s">
        <v>66</v>
      </c>
      <c r="AK355" t="s">
        <v>66</v>
      </c>
      <c r="AL355" t="s">
        <v>66</v>
      </c>
      <c r="AM355" s="2" t="str">
        <f>HYPERLINK("https://transparencia.cidesi.mx/comprobantes/2021/CQ2100697 /C374433_OVI800131GQ6.pdf")</f>
        <v>https://transparencia.cidesi.mx/comprobantes/2021/CQ2100697 /C374433_OVI800131GQ6.pdf</v>
      </c>
      <c r="AN355" t="str">
        <f>HYPERLINK("https://transparencia.cidesi.mx/comprobantes/2021/CQ2100697 /C374433_OVI800131GQ6.pdf")</f>
        <v>https://transparencia.cidesi.mx/comprobantes/2021/CQ2100697 /C374433_OVI800131GQ6.pdf</v>
      </c>
      <c r="AO355" t="str">
        <f>HYPERLINK("https://transparencia.cidesi.mx/comprobantes/2021/CQ2100697 /C374433_OVI800131GQ6.xml")</f>
        <v>https://transparencia.cidesi.mx/comprobantes/2021/CQ2100697 /C374433_OVI800131GQ6.xml</v>
      </c>
      <c r="AP355" t="s">
        <v>776</v>
      </c>
      <c r="AQ355" t="s">
        <v>777</v>
      </c>
      <c r="AR355" t="s">
        <v>778</v>
      </c>
      <c r="AS355" t="s">
        <v>779</v>
      </c>
      <c r="AT355" s="1">
        <v>44435</v>
      </c>
      <c r="AU355" s="1">
        <v>44438</v>
      </c>
    </row>
    <row r="356" spans="1:47" x14ac:dyDescent="0.3">
      <c r="A356" t="s">
        <v>47</v>
      </c>
      <c r="B356" t="s">
        <v>48</v>
      </c>
      <c r="C356" t="s">
        <v>49</v>
      </c>
      <c r="D356">
        <v>572</v>
      </c>
      <c r="E356" t="s">
        <v>768</v>
      </c>
      <c r="F356" t="s">
        <v>769</v>
      </c>
      <c r="G356" t="s">
        <v>770</v>
      </c>
      <c r="H356" t="s">
        <v>771</v>
      </c>
      <c r="I356" t="s">
        <v>54</v>
      </c>
      <c r="J356" t="s">
        <v>772</v>
      </c>
      <c r="K356" t="s">
        <v>56</v>
      </c>
      <c r="L356">
        <v>0</v>
      </c>
      <c r="M356" t="s">
        <v>73</v>
      </c>
      <c r="N356">
        <v>0</v>
      </c>
      <c r="O356" t="s">
        <v>58</v>
      </c>
      <c r="P356" t="s">
        <v>59</v>
      </c>
      <c r="Q356" t="s">
        <v>773</v>
      </c>
      <c r="R356" t="s">
        <v>772</v>
      </c>
      <c r="S356" s="1">
        <v>44411</v>
      </c>
      <c r="T356" s="1">
        <v>44414</v>
      </c>
      <c r="U356">
        <v>37501</v>
      </c>
      <c r="V356" t="s">
        <v>61</v>
      </c>
      <c r="W356" t="s">
        <v>774</v>
      </c>
      <c r="X356" s="1">
        <v>44435</v>
      </c>
      <c r="Y356" t="s">
        <v>63</v>
      </c>
      <c r="Z356">
        <v>39.659999999999997</v>
      </c>
      <c r="AA356">
        <v>16</v>
      </c>
      <c r="AB356">
        <v>6.34</v>
      </c>
      <c r="AC356">
        <v>0</v>
      </c>
      <c r="AD356">
        <v>46</v>
      </c>
      <c r="AE356">
        <v>3579.38</v>
      </c>
      <c r="AF356">
        <v>3818</v>
      </c>
      <c r="AG356" t="s">
        <v>775</v>
      </c>
      <c r="AH356" t="s">
        <v>65</v>
      </c>
      <c r="AI356" t="s">
        <v>65</v>
      </c>
      <c r="AJ356" t="s">
        <v>66</v>
      </c>
      <c r="AK356" t="s">
        <v>66</v>
      </c>
      <c r="AL356" t="s">
        <v>66</v>
      </c>
      <c r="AM356" s="2" t="str">
        <f>HYPERLINK("https://transparencia.cidesi.mx/comprobantes/2021/CQ2100697 /C4527531_SAO030421M70.pdf")</f>
        <v>https://transparencia.cidesi.mx/comprobantes/2021/CQ2100697 /C4527531_SAO030421M70.pdf</v>
      </c>
      <c r="AN356" t="str">
        <f>HYPERLINK("https://transparencia.cidesi.mx/comprobantes/2021/CQ2100697 /C4527531_SAO030421M70.pdf")</f>
        <v>https://transparencia.cidesi.mx/comprobantes/2021/CQ2100697 /C4527531_SAO030421M70.pdf</v>
      </c>
      <c r="AO356" t="str">
        <f>HYPERLINK("https://transparencia.cidesi.mx/comprobantes/2021/CQ2100697 /C4527531_SAO030421M70.xml")</f>
        <v>https://transparencia.cidesi.mx/comprobantes/2021/CQ2100697 /C4527531_SAO030421M70.xml</v>
      </c>
      <c r="AP356" t="s">
        <v>776</v>
      </c>
      <c r="AQ356" t="s">
        <v>777</v>
      </c>
      <c r="AR356" t="s">
        <v>778</v>
      </c>
      <c r="AS356" t="s">
        <v>779</v>
      </c>
      <c r="AT356" s="1">
        <v>44435</v>
      </c>
      <c r="AU356" s="1">
        <v>44438</v>
      </c>
    </row>
    <row r="357" spans="1:47" x14ac:dyDescent="0.3">
      <c r="A357" t="s">
        <v>47</v>
      </c>
      <c r="B357" t="s">
        <v>48</v>
      </c>
      <c r="C357" t="s">
        <v>49</v>
      </c>
      <c r="D357">
        <v>572</v>
      </c>
      <c r="E357" t="s">
        <v>768</v>
      </c>
      <c r="F357" t="s">
        <v>769</v>
      </c>
      <c r="G357" t="s">
        <v>770</v>
      </c>
      <c r="H357" t="s">
        <v>771</v>
      </c>
      <c r="I357" t="s">
        <v>54</v>
      </c>
      <c r="J357" t="s">
        <v>772</v>
      </c>
      <c r="K357" t="s">
        <v>56</v>
      </c>
      <c r="L357">
        <v>0</v>
      </c>
      <c r="M357" t="s">
        <v>73</v>
      </c>
      <c r="N357">
        <v>0</v>
      </c>
      <c r="O357" t="s">
        <v>58</v>
      </c>
      <c r="P357" t="s">
        <v>59</v>
      </c>
      <c r="Q357" t="s">
        <v>773</v>
      </c>
      <c r="R357" t="s">
        <v>772</v>
      </c>
      <c r="S357" s="1">
        <v>44411</v>
      </c>
      <c r="T357" s="1">
        <v>44414</v>
      </c>
      <c r="U357">
        <v>37501</v>
      </c>
      <c r="V357" t="s">
        <v>61</v>
      </c>
      <c r="W357" t="s">
        <v>774</v>
      </c>
      <c r="X357" s="1">
        <v>44435</v>
      </c>
      <c r="Y357" t="s">
        <v>63</v>
      </c>
      <c r="Z357">
        <v>76.72</v>
      </c>
      <c r="AA357">
        <v>16</v>
      </c>
      <c r="AB357">
        <v>12.28</v>
      </c>
      <c r="AC357">
        <v>0</v>
      </c>
      <c r="AD357">
        <v>89</v>
      </c>
      <c r="AE357">
        <v>3579.38</v>
      </c>
      <c r="AF357">
        <v>3818</v>
      </c>
      <c r="AG357" t="s">
        <v>775</v>
      </c>
      <c r="AH357" t="s">
        <v>65</v>
      </c>
      <c r="AI357" t="s">
        <v>65</v>
      </c>
      <c r="AJ357" t="s">
        <v>66</v>
      </c>
      <c r="AK357" t="s">
        <v>66</v>
      </c>
      <c r="AL357" t="s">
        <v>66</v>
      </c>
      <c r="AM357" s="2" t="str">
        <f>HYPERLINK("https://transparencia.cidesi.mx/comprobantes/2021/CQ2100697 /C5527902_SAO030421M70.pdf")</f>
        <v>https://transparencia.cidesi.mx/comprobantes/2021/CQ2100697 /C5527902_SAO030421M70.pdf</v>
      </c>
      <c r="AN357" t="str">
        <f>HYPERLINK("https://transparencia.cidesi.mx/comprobantes/2021/CQ2100697 /C5527902_SAO030421M70.pdf")</f>
        <v>https://transparencia.cidesi.mx/comprobantes/2021/CQ2100697 /C5527902_SAO030421M70.pdf</v>
      </c>
      <c r="AO357" t="str">
        <f>HYPERLINK("https://transparencia.cidesi.mx/comprobantes/2021/CQ2100697 /C5527902_SAO030421M70.xml")</f>
        <v>https://transparencia.cidesi.mx/comprobantes/2021/CQ2100697 /C5527902_SAO030421M70.xml</v>
      </c>
      <c r="AP357" t="s">
        <v>776</v>
      </c>
      <c r="AQ357" t="s">
        <v>777</v>
      </c>
      <c r="AR357" t="s">
        <v>778</v>
      </c>
      <c r="AS357" t="s">
        <v>779</v>
      </c>
      <c r="AT357" s="1">
        <v>44435</v>
      </c>
      <c r="AU357" s="1">
        <v>44438</v>
      </c>
    </row>
    <row r="358" spans="1:47" x14ac:dyDescent="0.3">
      <c r="A358" t="s">
        <v>47</v>
      </c>
      <c r="B358" t="s">
        <v>48</v>
      </c>
      <c r="C358" t="s">
        <v>49</v>
      </c>
      <c r="D358">
        <v>572</v>
      </c>
      <c r="E358" t="s">
        <v>768</v>
      </c>
      <c r="F358" t="s">
        <v>769</v>
      </c>
      <c r="G358" t="s">
        <v>770</v>
      </c>
      <c r="H358" t="s">
        <v>771</v>
      </c>
      <c r="I358" t="s">
        <v>54</v>
      </c>
      <c r="J358" t="s">
        <v>772</v>
      </c>
      <c r="K358" t="s">
        <v>56</v>
      </c>
      <c r="L358">
        <v>0</v>
      </c>
      <c r="M358" t="s">
        <v>73</v>
      </c>
      <c r="N358">
        <v>0</v>
      </c>
      <c r="O358" t="s">
        <v>58</v>
      </c>
      <c r="P358" t="s">
        <v>59</v>
      </c>
      <c r="Q358" t="s">
        <v>773</v>
      </c>
      <c r="R358" t="s">
        <v>772</v>
      </c>
      <c r="S358" s="1">
        <v>44411</v>
      </c>
      <c r="T358" s="1">
        <v>44414</v>
      </c>
      <c r="U358">
        <v>37501</v>
      </c>
      <c r="V358" t="s">
        <v>61</v>
      </c>
      <c r="W358" t="s">
        <v>774</v>
      </c>
      <c r="X358" s="1">
        <v>44435</v>
      </c>
      <c r="Y358" t="s">
        <v>63</v>
      </c>
      <c r="Z358">
        <v>56</v>
      </c>
      <c r="AA358">
        <v>0</v>
      </c>
      <c r="AB358">
        <v>0</v>
      </c>
      <c r="AC358">
        <v>0</v>
      </c>
      <c r="AD358">
        <v>56</v>
      </c>
      <c r="AE358">
        <v>3579.38</v>
      </c>
      <c r="AF358">
        <v>3818</v>
      </c>
      <c r="AG358" t="s">
        <v>775</v>
      </c>
      <c r="AH358" t="s">
        <v>65</v>
      </c>
      <c r="AI358" t="s">
        <v>65</v>
      </c>
      <c r="AJ358" t="s">
        <v>66</v>
      </c>
      <c r="AK358" t="s">
        <v>66</v>
      </c>
      <c r="AL358" t="s">
        <v>66</v>
      </c>
      <c r="AM358" s="2" t="str">
        <f>HYPERLINK("https://transparencia.cidesi.mx/comprobantes/2021/CQ2100697 /C6340331077_CCO8605231N4.pdf")</f>
        <v>https://transparencia.cidesi.mx/comprobantes/2021/CQ2100697 /C6340331077_CCO8605231N4.pdf</v>
      </c>
      <c r="AN358" t="str">
        <f>HYPERLINK("https://transparencia.cidesi.mx/comprobantes/2021/CQ2100697 /C6340331077_CCO8605231N4.pdf")</f>
        <v>https://transparencia.cidesi.mx/comprobantes/2021/CQ2100697 /C6340331077_CCO8605231N4.pdf</v>
      </c>
      <c r="AO358" t="str">
        <f>HYPERLINK("https://transparencia.cidesi.mx/comprobantes/2021/CQ2100697 /C6340331077_CCO8605231N4.xml")</f>
        <v>https://transparencia.cidesi.mx/comprobantes/2021/CQ2100697 /C6340331077_CCO8605231N4.xml</v>
      </c>
      <c r="AP358" t="s">
        <v>776</v>
      </c>
      <c r="AQ358" t="s">
        <v>777</v>
      </c>
      <c r="AR358" t="s">
        <v>778</v>
      </c>
      <c r="AS358" t="s">
        <v>779</v>
      </c>
      <c r="AT358" s="1">
        <v>44435</v>
      </c>
      <c r="AU358" s="1">
        <v>44438</v>
      </c>
    </row>
    <row r="359" spans="1:47" x14ac:dyDescent="0.3">
      <c r="A359" t="s">
        <v>47</v>
      </c>
      <c r="B359" t="s">
        <v>48</v>
      </c>
      <c r="C359" t="s">
        <v>49</v>
      </c>
      <c r="D359">
        <v>572</v>
      </c>
      <c r="E359" t="s">
        <v>768</v>
      </c>
      <c r="F359" t="s">
        <v>769</v>
      </c>
      <c r="G359" t="s">
        <v>770</v>
      </c>
      <c r="H359" t="s">
        <v>771</v>
      </c>
      <c r="I359" t="s">
        <v>54</v>
      </c>
      <c r="J359" t="s">
        <v>772</v>
      </c>
      <c r="K359" t="s">
        <v>56</v>
      </c>
      <c r="L359">
        <v>0</v>
      </c>
      <c r="M359" t="s">
        <v>73</v>
      </c>
      <c r="N359">
        <v>0</v>
      </c>
      <c r="O359" t="s">
        <v>58</v>
      </c>
      <c r="P359" t="s">
        <v>59</v>
      </c>
      <c r="Q359" t="s">
        <v>773</v>
      </c>
      <c r="R359" t="s">
        <v>772</v>
      </c>
      <c r="S359" s="1">
        <v>44411</v>
      </c>
      <c r="T359" s="1">
        <v>44414</v>
      </c>
      <c r="U359">
        <v>37501</v>
      </c>
      <c r="V359" t="s">
        <v>61</v>
      </c>
      <c r="W359" t="s">
        <v>774</v>
      </c>
      <c r="X359" s="1">
        <v>44435</v>
      </c>
      <c r="Y359" t="s">
        <v>63</v>
      </c>
      <c r="Z359">
        <v>35.36</v>
      </c>
      <c r="AA359">
        <v>16</v>
      </c>
      <c r="AB359">
        <v>4.1399999999999997</v>
      </c>
      <c r="AC359">
        <v>0</v>
      </c>
      <c r="AD359">
        <v>39.5</v>
      </c>
      <c r="AE359">
        <v>3579.38</v>
      </c>
      <c r="AF359">
        <v>3818</v>
      </c>
      <c r="AG359" t="s">
        <v>775</v>
      </c>
      <c r="AH359" t="s">
        <v>65</v>
      </c>
      <c r="AI359" t="s">
        <v>65</v>
      </c>
      <c r="AJ359" t="s">
        <v>66</v>
      </c>
      <c r="AK359" t="s">
        <v>66</v>
      </c>
      <c r="AL359" t="s">
        <v>66</v>
      </c>
      <c r="AM359" s="2" t="str">
        <f>HYPERLINK("https://transparencia.cidesi.mx/comprobantes/2021/CQ2100697 /C7BOG25889_FGU830930PD3.pdf")</f>
        <v>https://transparencia.cidesi.mx/comprobantes/2021/CQ2100697 /C7BOG25889_FGU830930PD3.pdf</v>
      </c>
      <c r="AN359" t="str">
        <f>HYPERLINK("https://transparencia.cidesi.mx/comprobantes/2021/CQ2100697 /C7BOG25889_FGU830930PD3.pdf")</f>
        <v>https://transparencia.cidesi.mx/comprobantes/2021/CQ2100697 /C7BOG25889_FGU830930PD3.pdf</v>
      </c>
      <c r="AO359" t="str">
        <f>HYPERLINK("https://transparencia.cidesi.mx/comprobantes/2021/CQ2100697 /C7BOG25889_FGU830930PD3.xml")</f>
        <v>https://transparencia.cidesi.mx/comprobantes/2021/CQ2100697 /C7BOG25889_FGU830930PD3.xml</v>
      </c>
      <c r="AP359" t="s">
        <v>776</v>
      </c>
      <c r="AQ359" t="s">
        <v>777</v>
      </c>
      <c r="AR359" t="s">
        <v>778</v>
      </c>
      <c r="AS359" t="s">
        <v>779</v>
      </c>
      <c r="AT359" s="1">
        <v>44435</v>
      </c>
      <c r="AU359" s="1">
        <v>44438</v>
      </c>
    </row>
    <row r="360" spans="1:47" x14ac:dyDescent="0.3">
      <c r="A360" t="s">
        <v>47</v>
      </c>
      <c r="B360" t="s">
        <v>48</v>
      </c>
      <c r="C360" t="s">
        <v>49</v>
      </c>
      <c r="D360">
        <v>572</v>
      </c>
      <c r="E360" t="s">
        <v>768</v>
      </c>
      <c r="F360" t="s">
        <v>769</v>
      </c>
      <c r="G360" t="s">
        <v>770</v>
      </c>
      <c r="H360" t="s">
        <v>771</v>
      </c>
      <c r="I360" t="s">
        <v>54</v>
      </c>
      <c r="J360" t="s">
        <v>772</v>
      </c>
      <c r="K360" t="s">
        <v>56</v>
      </c>
      <c r="L360">
        <v>0</v>
      </c>
      <c r="M360" t="s">
        <v>73</v>
      </c>
      <c r="N360">
        <v>0</v>
      </c>
      <c r="O360" t="s">
        <v>58</v>
      </c>
      <c r="P360" t="s">
        <v>59</v>
      </c>
      <c r="Q360" t="s">
        <v>773</v>
      </c>
      <c r="R360" t="s">
        <v>772</v>
      </c>
      <c r="S360" s="1">
        <v>44411</v>
      </c>
      <c r="T360" s="1">
        <v>44414</v>
      </c>
      <c r="U360">
        <v>37501</v>
      </c>
      <c r="V360" t="s">
        <v>534</v>
      </c>
      <c r="W360" t="s">
        <v>774</v>
      </c>
      <c r="X360" s="1">
        <v>44435</v>
      </c>
      <c r="Y360" t="s">
        <v>63</v>
      </c>
      <c r="Z360">
        <v>86.15</v>
      </c>
      <c r="AA360">
        <v>16</v>
      </c>
      <c r="AB360">
        <v>13.78</v>
      </c>
      <c r="AC360">
        <v>0</v>
      </c>
      <c r="AD360">
        <v>99.93</v>
      </c>
      <c r="AE360">
        <v>3579.38</v>
      </c>
      <c r="AF360">
        <v>3818</v>
      </c>
      <c r="AG360" t="s">
        <v>780</v>
      </c>
      <c r="AH360" t="s">
        <v>66</v>
      </c>
      <c r="AI360" t="s">
        <v>65</v>
      </c>
      <c r="AJ360" t="s">
        <v>66</v>
      </c>
      <c r="AK360" t="s">
        <v>66</v>
      </c>
      <c r="AL360" t="s">
        <v>66</v>
      </c>
      <c r="AM360" s="2" t="str">
        <f>HYPERLINK("https://transparencia.cidesi.mx/comprobantes/2021/CQ2100697 /C82F2C4-0000317.pdf")</f>
        <v>https://transparencia.cidesi.mx/comprobantes/2021/CQ2100697 /C82F2C4-0000317.pdf</v>
      </c>
      <c r="AN360" t="str">
        <f>HYPERLINK("https://transparencia.cidesi.mx/comprobantes/2021/CQ2100697 /C82F2C4-0000317.pdf")</f>
        <v>https://transparencia.cidesi.mx/comprobantes/2021/CQ2100697 /C82F2C4-0000317.pdf</v>
      </c>
      <c r="AO360" t="str">
        <f>HYPERLINK("https://transparencia.cidesi.mx/comprobantes/2021/CQ2100697 /C82F2C4-0000317_GUIF800905N28.xml")</f>
        <v>https://transparencia.cidesi.mx/comprobantes/2021/CQ2100697 /C82F2C4-0000317_GUIF800905N28.xml</v>
      </c>
      <c r="AP360" t="s">
        <v>776</v>
      </c>
      <c r="AQ360" t="s">
        <v>777</v>
      </c>
      <c r="AR360" t="s">
        <v>778</v>
      </c>
      <c r="AS360" t="s">
        <v>779</v>
      </c>
      <c r="AT360" s="1">
        <v>44435</v>
      </c>
      <c r="AU360" s="1">
        <v>44438</v>
      </c>
    </row>
    <row r="361" spans="1:47" x14ac:dyDescent="0.3">
      <c r="A361" t="s">
        <v>47</v>
      </c>
      <c r="B361" t="s">
        <v>48</v>
      </c>
      <c r="C361" t="s">
        <v>49</v>
      </c>
      <c r="D361">
        <v>572</v>
      </c>
      <c r="E361" t="s">
        <v>768</v>
      </c>
      <c r="F361" t="s">
        <v>769</v>
      </c>
      <c r="G361" t="s">
        <v>770</v>
      </c>
      <c r="H361" t="s">
        <v>771</v>
      </c>
      <c r="I361" t="s">
        <v>54</v>
      </c>
      <c r="J361" t="s">
        <v>772</v>
      </c>
      <c r="K361" t="s">
        <v>56</v>
      </c>
      <c r="L361">
        <v>0</v>
      </c>
      <c r="M361" t="s">
        <v>73</v>
      </c>
      <c r="N361">
        <v>0</v>
      </c>
      <c r="O361" t="s">
        <v>58</v>
      </c>
      <c r="P361" t="s">
        <v>59</v>
      </c>
      <c r="Q361" t="s">
        <v>773</v>
      </c>
      <c r="R361" t="s">
        <v>772</v>
      </c>
      <c r="S361" s="1">
        <v>44411</v>
      </c>
      <c r="T361" s="1">
        <v>44414</v>
      </c>
      <c r="U361">
        <v>37501</v>
      </c>
      <c r="V361" t="s">
        <v>534</v>
      </c>
      <c r="W361" t="s">
        <v>774</v>
      </c>
      <c r="X361" s="1">
        <v>44435</v>
      </c>
      <c r="Y361" t="s">
        <v>63</v>
      </c>
      <c r="Z361">
        <v>43.07</v>
      </c>
      <c r="AA361">
        <v>16</v>
      </c>
      <c r="AB361">
        <v>6.89</v>
      </c>
      <c r="AC361">
        <v>0</v>
      </c>
      <c r="AD361">
        <v>49.96</v>
      </c>
      <c r="AE361">
        <v>3579.38</v>
      </c>
      <c r="AF361">
        <v>3818</v>
      </c>
      <c r="AG361" t="s">
        <v>780</v>
      </c>
      <c r="AH361" t="s">
        <v>66</v>
      </c>
      <c r="AI361" t="s">
        <v>65</v>
      </c>
      <c r="AJ361" t="s">
        <v>66</v>
      </c>
      <c r="AK361" t="s">
        <v>66</v>
      </c>
      <c r="AL361" t="s">
        <v>66</v>
      </c>
      <c r="AM361" s="2" t="str">
        <f>HYPERLINK("https://transparencia.cidesi.mx/comprobantes/2021/CQ2100697 /C9C7085-0000663_MEBR500213PF8.pdf")</f>
        <v>https://transparencia.cidesi.mx/comprobantes/2021/CQ2100697 /C9C7085-0000663_MEBR500213PF8.pdf</v>
      </c>
      <c r="AN361" t="str">
        <f>HYPERLINK("https://transparencia.cidesi.mx/comprobantes/2021/CQ2100697 /C9C7085-0000663_MEBR500213PF8.pdf")</f>
        <v>https://transparencia.cidesi.mx/comprobantes/2021/CQ2100697 /C9C7085-0000663_MEBR500213PF8.pdf</v>
      </c>
      <c r="AO361" t="str">
        <f>HYPERLINK("https://transparencia.cidesi.mx/comprobantes/2021/CQ2100697 /C9C7085-0000663_MEBR500213PF8.xml")</f>
        <v>https://transparencia.cidesi.mx/comprobantes/2021/CQ2100697 /C9C7085-0000663_MEBR500213PF8.xml</v>
      </c>
      <c r="AP361" t="s">
        <v>776</v>
      </c>
      <c r="AQ361" t="s">
        <v>777</v>
      </c>
      <c r="AR361" t="s">
        <v>778</v>
      </c>
      <c r="AS361" t="s">
        <v>779</v>
      </c>
      <c r="AT361" s="1">
        <v>44435</v>
      </c>
      <c r="AU361" s="1">
        <v>44438</v>
      </c>
    </row>
    <row r="362" spans="1:47" x14ac:dyDescent="0.3">
      <c r="A362" t="s">
        <v>47</v>
      </c>
      <c r="B362" t="s">
        <v>48</v>
      </c>
      <c r="C362" t="s">
        <v>49</v>
      </c>
      <c r="D362">
        <v>572</v>
      </c>
      <c r="E362" t="s">
        <v>768</v>
      </c>
      <c r="F362" t="s">
        <v>769</v>
      </c>
      <c r="G362" t="s">
        <v>770</v>
      </c>
      <c r="H362" t="s">
        <v>771</v>
      </c>
      <c r="I362" t="s">
        <v>54</v>
      </c>
      <c r="J362" t="s">
        <v>772</v>
      </c>
      <c r="K362" t="s">
        <v>56</v>
      </c>
      <c r="L362">
        <v>0</v>
      </c>
      <c r="M362" t="s">
        <v>73</v>
      </c>
      <c r="N362">
        <v>0</v>
      </c>
      <c r="O362" t="s">
        <v>58</v>
      </c>
      <c r="P362" t="s">
        <v>59</v>
      </c>
      <c r="Q362" t="s">
        <v>773</v>
      </c>
      <c r="R362" t="s">
        <v>772</v>
      </c>
      <c r="S362" s="1">
        <v>44411</v>
      </c>
      <c r="T362" s="1">
        <v>44414</v>
      </c>
      <c r="U362">
        <v>37501</v>
      </c>
      <c r="V362" t="s">
        <v>61</v>
      </c>
      <c r="W362" t="s">
        <v>774</v>
      </c>
      <c r="X362" s="1">
        <v>44435</v>
      </c>
      <c r="Y362" t="s">
        <v>63</v>
      </c>
      <c r="Z362">
        <v>24.66</v>
      </c>
      <c r="AA362">
        <v>16</v>
      </c>
      <c r="AB362">
        <v>2.34</v>
      </c>
      <c r="AC362">
        <v>0</v>
      </c>
      <c r="AD362">
        <v>27</v>
      </c>
      <c r="AE362">
        <v>3579.38</v>
      </c>
      <c r="AF362">
        <v>3818</v>
      </c>
      <c r="AG362" t="s">
        <v>775</v>
      </c>
      <c r="AH362" t="s">
        <v>65</v>
      </c>
      <c r="AI362" t="s">
        <v>65</v>
      </c>
      <c r="AJ362" t="s">
        <v>66</v>
      </c>
      <c r="AK362" t="s">
        <v>66</v>
      </c>
      <c r="AL362" t="s">
        <v>66</v>
      </c>
      <c r="AM362" s="2" t="str">
        <f>HYPERLINK("https://transparencia.cidesi.mx/comprobantes/2021/CQ2100697 /C10340331637_CCO8605231N4.pdf")</f>
        <v>https://transparencia.cidesi.mx/comprobantes/2021/CQ2100697 /C10340331637_CCO8605231N4.pdf</v>
      </c>
      <c r="AN362" t="str">
        <f>HYPERLINK("https://transparencia.cidesi.mx/comprobantes/2021/CQ2100697 /C10340331637_CCO8605231N4.pdf")</f>
        <v>https://transparencia.cidesi.mx/comprobantes/2021/CQ2100697 /C10340331637_CCO8605231N4.pdf</v>
      </c>
      <c r="AO362" t="str">
        <f>HYPERLINK("https://transparencia.cidesi.mx/comprobantes/2021/CQ2100697 /C10340331637_CCO8605231N4.xml")</f>
        <v>https://transparencia.cidesi.mx/comprobantes/2021/CQ2100697 /C10340331637_CCO8605231N4.xml</v>
      </c>
      <c r="AP362" t="s">
        <v>776</v>
      </c>
      <c r="AQ362" t="s">
        <v>777</v>
      </c>
      <c r="AR362" t="s">
        <v>778</v>
      </c>
      <c r="AS362" t="s">
        <v>779</v>
      </c>
      <c r="AT362" s="1">
        <v>44435</v>
      </c>
      <c r="AU362" s="1">
        <v>44438</v>
      </c>
    </row>
    <row r="363" spans="1:47" x14ac:dyDescent="0.3">
      <c r="A363" t="s">
        <v>47</v>
      </c>
      <c r="B363" t="s">
        <v>48</v>
      </c>
      <c r="C363" t="s">
        <v>49</v>
      </c>
      <c r="D363">
        <v>572</v>
      </c>
      <c r="E363" t="s">
        <v>768</v>
      </c>
      <c r="F363" t="s">
        <v>769</v>
      </c>
      <c r="G363" t="s">
        <v>770</v>
      </c>
      <c r="H363" t="s">
        <v>771</v>
      </c>
      <c r="I363" t="s">
        <v>54</v>
      </c>
      <c r="J363" t="s">
        <v>772</v>
      </c>
      <c r="K363" t="s">
        <v>56</v>
      </c>
      <c r="L363">
        <v>0</v>
      </c>
      <c r="M363" t="s">
        <v>73</v>
      </c>
      <c r="N363">
        <v>0</v>
      </c>
      <c r="O363" t="s">
        <v>58</v>
      </c>
      <c r="P363" t="s">
        <v>59</v>
      </c>
      <c r="Q363" t="s">
        <v>773</v>
      </c>
      <c r="R363" t="s">
        <v>772</v>
      </c>
      <c r="S363" s="1">
        <v>44411</v>
      </c>
      <c r="T363" s="1">
        <v>44414</v>
      </c>
      <c r="U363">
        <v>37501</v>
      </c>
      <c r="V363" t="s">
        <v>534</v>
      </c>
      <c r="W363" t="s">
        <v>774</v>
      </c>
      <c r="X363" s="1">
        <v>44435</v>
      </c>
      <c r="Y363" t="s">
        <v>63</v>
      </c>
      <c r="Z363">
        <v>137.9</v>
      </c>
      <c r="AA363">
        <v>16</v>
      </c>
      <c r="AB363">
        <v>22.06</v>
      </c>
      <c r="AC363">
        <v>0</v>
      </c>
      <c r="AD363">
        <v>159.96</v>
      </c>
      <c r="AE363">
        <v>3579.38</v>
      </c>
      <c r="AF363">
        <v>3818</v>
      </c>
      <c r="AG363" t="s">
        <v>780</v>
      </c>
      <c r="AH363" t="s">
        <v>66</v>
      </c>
      <c r="AI363" t="s">
        <v>65</v>
      </c>
      <c r="AJ363" t="s">
        <v>66</v>
      </c>
      <c r="AK363" t="s">
        <v>66</v>
      </c>
      <c r="AL363" t="s">
        <v>66</v>
      </c>
      <c r="AM363" s="2" t="str">
        <f>HYPERLINK("https://transparencia.cidesi.mx/comprobantes/2021/CQ2100697 /C11SFCRLX-I-0000992_IAVF540521PA3.pdf")</f>
        <v>https://transparencia.cidesi.mx/comprobantes/2021/CQ2100697 /C11SFCRLX-I-0000992_IAVF540521PA3.pdf</v>
      </c>
      <c r="AN363" t="str">
        <f>HYPERLINK("https://transparencia.cidesi.mx/comprobantes/2021/CQ2100697 /C11SFCRLX-I-0000992_IAVF540521PA3.pdf")</f>
        <v>https://transparencia.cidesi.mx/comprobantes/2021/CQ2100697 /C11SFCRLX-I-0000992_IAVF540521PA3.pdf</v>
      </c>
      <c r="AO363" t="str">
        <f>HYPERLINK("https://transparencia.cidesi.mx/comprobantes/2021/CQ2100697 /C11SFCRLX-I-0000992_IAVF540521PA3.xml")</f>
        <v>https://transparencia.cidesi.mx/comprobantes/2021/CQ2100697 /C11SFCRLX-I-0000992_IAVF540521PA3.xml</v>
      </c>
      <c r="AP363" t="s">
        <v>776</v>
      </c>
      <c r="AQ363" t="s">
        <v>777</v>
      </c>
      <c r="AR363" t="s">
        <v>778</v>
      </c>
      <c r="AS363" t="s">
        <v>779</v>
      </c>
      <c r="AT363" s="1">
        <v>44435</v>
      </c>
      <c r="AU363" s="1">
        <v>44438</v>
      </c>
    </row>
    <row r="364" spans="1:47" x14ac:dyDescent="0.3">
      <c r="A364" t="s">
        <v>47</v>
      </c>
      <c r="B364" t="s">
        <v>48</v>
      </c>
      <c r="C364" t="s">
        <v>49</v>
      </c>
      <c r="D364">
        <v>572</v>
      </c>
      <c r="E364" t="s">
        <v>768</v>
      </c>
      <c r="F364" t="s">
        <v>769</v>
      </c>
      <c r="G364" t="s">
        <v>770</v>
      </c>
      <c r="H364" t="s">
        <v>771</v>
      </c>
      <c r="I364" t="s">
        <v>54</v>
      </c>
      <c r="J364" t="s">
        <v>772</v>
      </c>
      <c r="K364" t="s">
        <v>56</v>
      </c>
      <c r="L364">
        <v>0</v>
      </c>
      <c r="M364" t="s">
        <v>73</v>
      </c>
      <c r="N364">
        <v>0</v>
      </c>
      <c r="O364" t="s">
        <v>58</v>
      </c>
      <c r="P364" t="s">
        <v>59</v>
      </c>
      <c r="Q364" t="s">
        <v>773</v>
      </c>
      <c r="R364" t="s">
        <v>772</v>
      </c>
      <c r="S364" s="1">
        <v>44411</v>
      </c>
      <c r="T364" s="1">
        <v>44414</v>
      </c>
      <c r="U364">
        <v>37501</v>
      </c>
      <c r="V364" t="s">
        <v>534</v>
      </c>
      <c r="W364" t="s">
        <v>774</v>
      </c>
      <c r="X364" s="1">
        <v>44435</v>
      </c>
      <c r="Y364" t="s">
        <v>63</v>
      </c>
      <c r="Z364">
        <v>111.99</v>
      </c>
      <c r="AA364">
        <v>16</v>
      </c>
      <c r="AB364">
        <v>17.920000000000002</v>
      </c>
      <c r="AC364">
        <v>0</v>
      </c>
      <c r="AD364">
        <v>129.91</v>
      </c>
      <c r="AE364">
        <v>3579.38</v>
      </c>
      <c r="AF364">
        <v>3818</v>
      </c>
      <c r="AG364" t="s">
        <v>780</v>
      </c>
      <c r="AH364" t="s">
        <v>66</v>
      </c>
      <c r="AI364" t="s">
        <v>65</v>
      </c>
      <c r="AJ364" t="s">
        <v>66</v>
      </c>
      <c r="AK364" t="s">
        <v>66</v>
      </c>
      <c r="AL364" t="s">
        <v>66</v>
      </c>
      <c r="AM364" s="2" t="str">
        <f>HYPERLINK("https://transparencia.cidesi.mx/comprobantes/2021/CQ2100697 /C12XGQQAO-I-0000439_DUMF731121N57.pdf")</f>
        <v>https://transparencia.cidesi.mx/comprobantes/2021/CQ2100697 /C12XGQQAO-I-0000439_DUMF731121N57.pdf</v>
      </c>
      <c r="AN364" t="str">
        <f>HYPERLINK("https://transparencia.cidesi.mx/comprobantes/2021/CQ2100697 /C12XGQQAO-I-0000439_DUMF731121N57.pdf")</f>
        <v>https://transparencia.cidesi.mx/comprobantes/2021/CQ2100697 /C12XGQQAO-I-0000439_DUMF731121N57.pdf</v>
      </c>
      <c r="AO364" t="str">
        <f>HYPERLINK("https://transparencia.cidesi.mx/comprobantes/2021/CQ2100697 /C12XGQQAO-I-0000439_DUMF731121N57.xml")</f>
        <v>https://transparencia.cidesi.mx/comprobantes/2021/CQ2100697 /C12XGQQAO-I-0000439_DUMF731121N57.xml</v>
      </c>
      <c r="AP364" t="s">
        <v>776</v>
      </c>
      <c r="AQ364" t="s">
        <v>777</v>
      </c>
      <c r="AR364" t="s">
        <v>778</v>
      </c>
      <c r="AS364" t="s">
        <v>779</v>
      </c>
      <c r="AT364" s="1">
        <v>44435</v>
      </c>
      <c r="AU364" s="1">
        <v>44438</v>
      </c>
    </row>
    <row r="365" spans="1:47" x14ac:dyDescent="0.3">
      <c r="A365" t="s">
        <v>47</v>
      </c>
      <c r="B365" t="s">
        <v>48</v>
      </c>
      <c r="C365" t="s">
        <v>49</v>
      </c>
      <c r="D365">
        <v>572</v>
      </c>
      <c r="E365" t="s">
        <v>768</v>
      </c>
      <c r="F365" t="s">
        <v>769</v>
      </c>
      <c r="G365" t="s">
        <v>770</v>
      </c>
      <c r="H365" t="s">
        <v>771</v>
      </c>
      <c r="I365" t="s">
        <v>54</v>
      </c>
      <c r="J365" t="s">
        <v>772</v>
      </c>
      <c r="K365" t="s">
        <v>56</v>
      </c>
      <c r="L365">
        <v>0</v>
      </c>
      <c r="M365" t="s">
        <v>73</v>
      </c>
      <c r="N365">
        <v>0</v>
      </c>
      <c r="O365" t="s">
        <v>58</v>
      </c>
      <c r="P365" t="s">
        <v>59</v>
      </c>
      <c r="Q365" t="s">
        <v>773</v>
      </c>
      <c r="R365" t="s">
        <v>772</v>
      </c>
      <c r="S365" s="1">
        <v>44411</v>
      </c>
      <c r="T365" s="1">
        <v>44414</v>
      </c>
      <c r="U365">
        <v>37501</v>
      </c>
      <c r="V365" t="s">
        <v>534</v>
      </c>
      <c r="W365" t="s">
        <v>774</v>
      </c>
      <c r="X365" s="1">
        <v>44435</v>
      </c>
      <c r="Y365" t="s">
        <v>63</v>
      </c>
      <c r="Z365">
        <v>86.16</v>
      </c>
      <c r="AA365">
        <v>16</v>
      </c>
      <c r="AB365">
        <v>13.78</v>
      </c>
      <c r="AC365">
        <v>0</v>
      </c>
      <c r="AD365">
        <v>99.94</v>
      </c>
      <c r="AE365">
        <v>3579.38</v>
      </c>
      <c r="AF365">
        <v>3818</v>
      </c>
      <c r="AG365" t="s">
        <v>780</v>
      </c>
      <c r="AH365" t="s">
        <v>66</v>
      </c>
      <c r="AI365" t="s">
        <v>65</v>
      </c>
      <c r="AJ365" t="s">
        <v>66</v>
      </c>
      <c r="AK365" t="s">
        <v>66</v>
      </c>
      <c r="AL365" t="s">
        <v>66</v>
      </c>
      <c r="AM365" s="2" t="str">
        <f>HYPERLINK("https://transparencia.cidesi.mx/comprobantes/2021/CQ2100697 /C13YIGUGQ-I-0000459_RIML710517AU7.pdf")</f>
        <v>https://transparencia.cidesi.mx/comprobantes/2021/CQ2100697 /C13YIGUGQ-I-0000459_RIML710517AU7.pdf</v>
      </c>
      <c r="AN365" t="str">
        <f>HYPERLINK("https://transparencia.cidesi.mx/comprobantes/2021/CQ2100697 /C13YIGUGQ-I-0000459_RIML710517AU7.pdf")</f>
        <v>https://transparencia.cidesi.mx/comprobantes/2021/CQ2100697 /C13YIGUGQ-I-0000459_RIML710517AU7.pdf</v>
      </c>
      <c r="AO365" t="str">
        <f>HYPERLINK("https://transparencia.cidesi.mx/comprobantes/2021/CQ2100697 /C13YIGUGQ-I-0000459_RIML710517AU7.xml")</f>
        <v>https://transparencia.cidesi.mx/comprobantes/2021/CQ2100697 /C13YIGUGQ-I-0000459_RIML710517AU7.xml</v>
      </c>
      <c r="AP365" t="s">
        <v>776</v>
      </c>
      <c r="AQ365" t="s">
        <v>777</v>
      </c>
      <c r="AR365" t="s">
        <v>778</v>
      </c>
      <c r="AS365" t="s">
        <v>779</v>
      </c>
      <c r="AT365" s="1">
        <v>44435</v>
      </c>
      <c r="AU365" s="1">
        <v>44438</v>
      </c>
    </row>
    <row r="366" spans="1:47" x14ac:dyDescent="0.3">
      <c r="A366" t="s">
        <v>47</v>
      </c>
      <c r="B366" t="s">
        <v>48</v>
      </c>
      <c r="C366" t="s">
        <v>49</v>
      </c>
      <c r="D366">
        <v>572</v>
      </c>
      <c r="E366" t="s">
        <v>768</v>
      </c>
      <c r="F366" t="s">
        <v>769</v>
      </c>
      <c r="G366" t="s">
        <v>770</v>
      </c>
      <c r="H366" t="s">
        <v>771</v>
      </c>
      <c r="I366" t="s">
        <v>54</v>
      </c>
      <c r="J366" t="s">
        <v>772</v>
      </c>
      <c r="K366" t="s">
        <v>56</v>
      </c>
      <c r="L366">
        <v>0</v>
      </c>
      <c r="M366" t="s">
        <v>73</v>
      </c>
      <c r="N366">
        <v>0</v>
      </c>
      <c r="O366" t="s">
        <v>58</v>
      </c>
      <c r="P366" t="s">
        <v>59</v>
      </c>
      <c r="Q366" t="s">
        <v>773</v>
      </c>
      <c r="R366" t="s">
        <v>772</v>
      </c>
      <c r="S366" s="1">
        <v>44411</v>
      </c>
      <c r="T366" s="1">
        <v>44414</v>
      </c>
      <c r="U366">
        <v>37501</v>
      </c>
      <c r="V366" t="s">
        <v>104</v>
      </c>
      <c r="W366" t="s">
        <v>774</v>
      </c>
      <c r="X366" s="1">
        <v>44435</v>
      </c>
      <c r="Y366" t="s">
        <v>63</v>
      </c>
      <c r="Z366">
        <v>1063.23</v>
      </c>
      <c r="AA366">
        <v>16</v>
      </c>
      <c r="AB366">
        <v>166.78</v>
      </c>
      <c r="AC366">
        <v>0</v>
      </c>
      <c r="AD366">
        <v>1230.01</v>
      </c>
      <c r="AE366">
        <v>3579.38</v>
      </c>
      <c r="AF366">
        <v>3818</v>
      </c>
      <c r="AG366" t="s">
        <v>781</v>
      </c>
      <c r="AH366" t="s">
        <v>65</v>
      </c>
      <c r="AI366" t="s">
        <v>65</v>
      </c>
      <c r="AJ366" t="s">
        <v>66</v>
      </c>
      <c r="AK366" t="s">
        <v>66</v>
      </c>
      <c r="AL366" t="s">
        <v>66</v>
      </c>
      <c r="AM366" s="2" t="str">
        <f>HYPERLINK("https://transparencia.cidesi.mx/comprobantes/2021/CQ2100697 /C1440158_VEII550724RQ1.pdf")</f>
        <v>https://transparencia.cidesi.mx/comprobantes/2021/CQ2100697 /C1440158_VEII550724RQ1.pdf</v>
      </c>
      <c r="AN366" t="str">
        <f>HYPERLINK("https://transparencia.cidesi.mx/comprobantes/2021/CQ2100697 /C1440158_VEII550724RQ1.pdf")</f>
        <v>https://transparencia.cidesi.mx/comprobantes/2021/CQ2100697 /C1440158_VEII550724RQ1.pdf</v>
      </c>
      <c r="AO366" t="str">
        <f>HYPERLINK("https://transparencia.cidesi.mx/comprobantes/2021/CQ2100697 /C1440158_VEII550724RQ1.xml")</f>
        <v>https://transparencia.cidesi.mx/comprobantes/2021/CQ2100697 /C1440158_VEII550724RQ1.xml</v>
      </c>
      <c r="AP366" t="s">
        <v>776</v>
      </c>
      <c r="AQ366" t="s">
        <v>777</v>
      </c>
      <c r="AR366" t="s">
        <v>778</v>
      </c>
      <c r="AS366" t="s">
        <v>779</v>
      </c>
      <c r="AT366" s="1">
        <v>44435</v>
      </c>
      <c r="AU366" s="1">
        <v>44438</v>
      </c>
    </row>
    <row r="367" spans="1:47" x14ac:dyDescent="0.3">
      <c r="A367" t="s">
        <v>47</v>
      </c>
      <c r="B367" t="s">
        <v>48</v>
      </c>
      <c r="C367" t="s">
        <v>49</v>
      </c>
      <c r="D367">
        <v>572</v>
      </c>
      <c r="E367" t="s">
        <v>768</v>
      </c>
      <c r="F367" t="s">
        <v>769</v>
      </c>
      <c r="G367" t="s">
        <v>770</v>
      </c>
      <c r="H367" t="s">
        <v>771</v>
      </c>
      <c r="I367" t="s">
        <v>54</v>
      </c>
      <c r="J367" t="s">
        <v>772</v>
      </c>
      <c r="K367" t="s">
        <v>56</v>
      </c>
      <c r="L367">
        <v>0</v>
      </c>
      <c r="M367" t="s">
        <v>73</v>
      </c>
      <c r="N367">
        <v>0</v>
      </c>
      <c r="O367" t="s">
        <v>58</v>
      </c>
      <c r="P367" t="s">
        <v>59</v>
      </c>
      <c r="Q367" t="s">
        <v>773</v>
      </c>
      <c r="R367" t="s">
        <v>772</v>
      </c>
      <c r="S367" s="1">
        <v>44411</v>
      </c>
      <c r="T367" s="1">
        <v>44414</v>
      </c>
      <c r="U367">
        <v>37201</v>
      </c>
      <c r="V367" t="s">
        <v>417</v>
      </c>
      <c r="W367" t="s">
        <v>774</v>
      </c>
      <c r="X367" s="1">
        <v>44435</v>
      </c>
      <c r="Y367" t="s">
        <v>63</v>
      </c>
      <c r="Z367">
        <v>366.38</v>
      </c>
      <c r="AA367">
        <v>16</v>
      </c>
      <c r="AB367">
        <v>58.62</v>
      </c>
      <c r="AC367">
        <v>0</v>
      </c>
      <c r="AD367">
        <v>425</v>
      </c>
      <c r="AE367">
        <v>3579.38</v>
      </c>
      <c r="AF367">
        <v>3818</v>
      </c>
      <c r="AG367" t="s">
        <v>782</v>
      </c>
      <c r="AH367" t="s">
        <v>66</v>
      </c>
      <c r="AI367" t="s">
        <v>65</v>
      </c>
      <c r="AJ367" t="s">
        <v>66</v>
      </c>
      <c r="AK367" t="s">
        <v>66</v>
      </c>
      <c r="AL367" t="s">
        <v>66</v>
      </c>
      <c r="AM367" s="2" t="str">
        <f>HYPERLINK("https://transparencia.cidesi.mx/comprobantes/2021/CQ2100697 /C15PFFABP3030165_API6609273E0.pdf")</f>
        <v>https://transparencia.cidesi.mx/comprobantes/2021/CQ2100697 /C15PFFABP3030165_API6609273E0.pdf</v>
      </c>
      <c r="AN367" t="str">
        <f>HYPERLINK("https://transparencia.cidesi.mx/comprobantes/2021/CQ2100697 /C15PFFABP3030165_API6609273E0.pdf")</f>
        <v>https://transparencia.cidesi.mx/comprobantes/2021/CQ2100697 /C15PFFABP3030165_API6609273E0.pdf</v>
      </c>
      <c r="AO367" t="str">
        <f>HYPERLINK("https://transparencia.cidesi.mx/comprobantes/2021/CQ2100697 /C15PFFABP3030165_API6609273E0.xml")</f>
        <v>https://transparencia.cidesi.mx/comprobantes/2021/CQ2100697 /C15PFFABP3030165_API6609273E0.xml</v>
      </c>
      <c r="AP367" t="s">
        <v>776</v>
      </c>
      <c r="AQ367" t="s">
        <v>777</v>
      </c>
      <c r="AR367" t="s">
        <v>778</v>
      </c>
      <c r="AS367" t="s">
        <v>779</v>
      </c>
      <c r="AT367" s="1">
        <v>44435</v>
      </c>
      <c r="AU367" s="1">
        <v>44438</v>
      </c>
    </row>
    <row r="368" spans="1:47" x14ac:dyDescent="0.3">
      <c r="A368" t="s">
        <v>47</v>
      </c>
      <c r="B368" t="s">
        <v>48</v>
      </c>
      <c r="C368" t="s">
        <v>49</v>
      </c>
      <c r="D368">
        <v>572</v>
      </c>
      <c r="E368" t="s">
        <v>768</v>
      </c>
      <c r="F368" t="s">
        <v>769</v>
      </c>
      <c r="G368" t="s">
        <v>770</v>
      </c>
      <c r="H368" t="s">
        <v>771</v>
      </c>
      <c r="I368" t="s">
        <v>54</v>
      </c>
      <c r="J368" t="s">
        <v>772</v>
      </c>
      <c r="K368" t="s">
        <v>56</v>
      </c>
      <c r="L368">
        <v>0</v>
      </c>
      <c r="M368" t="s">
        <v>73</v>
      </c>
      <c r="N368">
        <v>0</v>
      </c>
      <c r="O368" t="s">
        <v>58</v>
      </c>
      <c r="P368" t="s">
        <v>59</v>
      </c>
      <c r="Q368" t="s">
        <v>773</v>
      </c>
      <c r="R368" t="s">
        <v>772</v>
      </c>
      <c r="S368" s="1">
        <v>44411</v>
      </c>
      <c r="T368" s="1">
        <v>44414</v>
      </c>
      <c r="U368">
        <v>37201</v>
      </c>
      <c r="V368" t="s">
        <v>417</v>
      </c>
      <c r="W368" t="s">
        <v>774</v>
      </c>
      <c r="X368" s="1">
        <v>44435</v>
      </c>
      <c r="Y368" t="s">
        <v>63</v>
      </c>
      <c r="Z368">
        <v>366.38</v>
      </c>
      <c r="AA368">
        <v>16</v>
      </c>
      <c r="AB368">
        <v>58.62</v>
      </c>
      <c r="AC368">
        <v>0</v>
      </c>
      <c r="AD368">
        <v>425</v>
      </c>
      <c r="AE368">
        <v>3579.38</v>
      </c>
      <c r="AF368">
        <v>3818</v>
      </c>
      <c r="AG368" t="s">
        <v>782</v>
      </c>
      <c r="AH368" t="s">
        <v>66</v>
      </c>
      <c r="AI368" t="s">
        <v>65</v>
      </c>
      <c r="AJ368" t="s">
        <v>66</v>
      </c>
      <c r="AK368" t="s">
        <v>66</v>
      </c>
      <c r="AL368" t="s">
        <v>66</v>
      </c>
      <c r="AM368" s="2" t="str">
        <f>HYPERLINK("https://transparencia.cidesi.mx/comprobantes/2021/CQ2100697 /C16PFFABP3033268_API6609273E0.pdf")</f>
        <v>https://transparencia.cidesi.mx/comprobantes/2021/CQ2100697 /C16PFFABP3033268_API6609273E0.pdf</v>
      </c>
      <c r="AN368" t="str">
        <f>HYPERLINK("https://transparencia.cidesi.mx/comprobantes/2021/CQ2100697 /C16PFFABP3033268_API6609273E0.pdf")</f>
        <v>https://transparencia.cidesi.mx/comprobantes/2021/CQ2100697 /C16PFFABP3033268_API6609273E0.pdf</v>
      </c>
      <c r="AO368" t="str">
        <f>HYPERLINK("https://transparencia.cidesi.mx/comprobantes/2021/CQ2100697 /C16PFFABP3033268_API6609273E0.xml")</f>
        <v>https://transparencia.cidesi.mx/comprobantes/2021/CQ2100697 /C16PFFABP3033268_API6609273E0.xml</v>
      </c>
      <c r="AP368" t="s">
        <v>776</v>
      </c>
      <c r="AQ368" t="s">
        <v>777</v>
      </c>
      <c r="AR368" t="s">
        <v>778</v>
      </c>
      <c r="AS368" t="s">
        <v>779</v>
      </c>
      <c r="AT368" s="1">
        <v>44435</v>
      </c>
      <c r="AU368" s="1">
        <v>44438</v>
      </c>
    </row>
    <row r="369" spans="1:47" x14ac:dyDescent="0.3">
      <c r="A369" t="s">
        <v>47</v>
      </c>
      <c r="B369" t="s">
        <v>48</v>
      </c>
      <c r="C369" t="s">
        <v>49</v>
      </c>
      <c r="D369">
        <v>572</v>
      </c>
      <c r="E369" t="s">
        <v>768</v>
      </c>
      <c r="F369" t="s">
        <v>769</v>
      </c>
      <c r="G369" t="s">
        <v>770</v>
      </c>
      <c r="H369" t="s">
        <v>771</v>
      </c>
      <c r="I369" t="s">
        <v>54</v>
      </c>
      <c r="J369" t="s">
        <v>772</v>
      </c>
      <c r="K369" t="s">
        <v>56</v>
      </c>
      <c r="L369">
        <v>0</v>
      </c>
      <c r="M369" t="s">
        <v>73</v>
      </c>
      <c r="N369">
        <v>0</v>
      </c>
      <c r="O369" t="s">
        <v>58</v>
      </c>
      <c r="P369" t="s">
        <v>59</v>
      </c>
      <c r="Q369" t="s">
        <v>773</v>
      </c>
      <c r="R369" t="s">
        <v>772</v>
      </c>
      <c r="S369" s="1">
        <v>44411</v>
      </c>
      <c r="T369" s="1">
        <v>44414</v>
      </c>
      <c r="U369">
        <v>37104</v>
      </c>
      <c r="V369" t="s">
        <v>471</v>
      </c>
      <c r="W369" t="s">
        <v>774</v>
      </c>
      <c r="X369" s="1">
        <v>44435</v>
      </c>
      <c r="Y369" t="s">
        <v>63</v>
      </c>
      <c r="Z369">
        <v>308.62</v>
      </c>
      <c r="AA369">
        <v>16</v>
      </c>
      <c r="AB369">
        <v>49.38</v>
      </c>
      <c r="AC369">
        <v>0</v>
      </c>
      <c r="AD369">
        <v>358</v>
      </c>
      <c r="AE369">
        <v>3579.38</v>
      </c>
      <c r="AF369">
        <v>3818</v>
      </c>
      <c r="AG369" t="s">
        <v>783</v>
      </c>
      <c r="AH369" t="s">
        <v>66</v>
      </c>
      <c r="AI369" t="s">
        <v>65</v>
      </c>
      <c r="AJ369" t="s">
        <v>66</v>
      </c>
      <c r="AK369" t="s">
        <v>66</v>
      </c>
      <c r="AL369" t="s">
        <v>66</v>
      </c>
      <c r="AM369" s="2" t="str">
        <f>HYPERLINK("https://transparencia.cidesi.mx/comprobantes/2021/CQ2100697 /C17F1391517725165_AME880912I89.pdf")</f>
        <v>https://transparencia.cidesi.mx/comprobantes/2021/CQ2100697 /C17F1391517725165_AME880912I89.pdf</v>
      </c>
      <c r="AN369" t="str">
        <f>HYPERLINK("https://transparencia.cidesi.mx/comprobantes/2021/CQ2100697 /C17F1391517725165_AME880912I89.pdf")</f>
        <v>https://transparencia.cidesi.mx/comprobantes/2021/CQ2100697 /C17F1391517725165_AME880912I89.pdf</v>
      </c>
      <c r="AO369" t="str">
        <f>HYPERLINK("https://transparencia.cidesi.mx/comprobantes/2021/CQ2100697 /C17F1391517725165_AME880912I89.xml")</f>
        <v>https://transparencia.cidesi.mx/comprobantes/2021/CQ2100697 /C17F1391517725165_AME880912I89.xml</v>
      </c>
      <c r="AP369" t="s">
        <v>776</v>
      </c>
      <c r="AQ369" t="s">
        <v>777</v>
      </c>
      <c r="AR369" t="s">
        <v>778</v>
      </c>
      <c r="AS369" t="s">
        <v>779</v>
      </c>
      <c r="AT369" s="1">
        <v>44435</v>
      </c>
      <c r="AU369" s="1">
        <v>44438</v>
      </c>
    </row>
    <row r="370" spans="1:47" x14ac:dyDescent="0.3">
      <c r="A370" t="s">
        <v>47</v>
      </c>
      <c r="B370" t="s">
        <v>48</v>
      </c>
      <c r="C370" t="s">
        <v>49</v>
      </c>
      <c r="D370">
        <v>572</v>
      </c>
      <c r="E370" t="s">
        <v>768</v>
      </c>
      <c r="F370" t="s">
        <v>769</v>
      </c>
      <c r="G370" t="s">
        <v>770</v>
      </c>
      <c r="H370" t="s">
        <v>784</v>
      </c>
      <c r="I370" t="s">
        <v>54</v>
      </c>
      <c r="J370" t="s">
        <v>785</v>
      </c>
      <c r="K370" t="s">
        <v>56</v>
      </c>
      <c r="L370">
        <v>0</v>
      </c>
      <c r="M370" t="s">
        <v>73</v>
      </c>
      <c r="N370">
        <v>0</v>
      </c>
      <c r="O370" t="s">
        <v>58</v>
      </c>
      <c r="P370" t="s">
        <v>59</v>
      </c>
      <c r="Q370" t="s">
        <v>189</v>
      </c>
      <c r="R370" t="s">
        <v>785</v>
      </c>
      <c r="S370" s="1">
        <v>44411</v>
      </c>
      <c r="T370" s="1">
        <v>44411</v>
      </c>
      <c r="U370">
        <v>37104</v>
      </c>
      <c r="V370" t="s">
        <v>471</v>
      </c>
      <c r="W370" t="s">
        <v>786</v>
      </c>
      <c r="X370" s="1">
        <v>44414</v>
      </c>
      <c r="Y370" t="s">
        <v>63</v>
      </c>
      <c r="Z370">
        <v>4171.5200000000004</v>
      </c>
      <c r="AA370">
        <v>16</v>
      </c>
      <c r="AB370">
        <v>522.48</v>
      </c>
      <c r="AC370">
        <v>0</v>
      </c>
      <c r="AD370">
        <v>4694</v>
      </c>
      <c r="AE370">
        <v>4694</v>
      </c>
      <c r="AF370">
        <v>0</v>
      </c>
      <c r="AG370" t="s">
        <v>783</v>
      </c>
      <c r="AH370" t="s">
        <v>66</v>
      </c>
      <c r="AI370" t="s">
        <v>65</v>
      </c>
      <c r="AJ370" t="s">
        <v>66</v>
      </c>
      <c r="AK370" t="s">
        <v>66</v>
      </c>
      <c r="AL370" t="s">
        <v>66</v>
      </c>
      <c r="AM370" s="2" t="str">
        <f>HYPERLINK("https://transparencia.cidesi.mx/comprobantes/2021/CAQ210022 /C1F-1392123430255_AME880912I89.pdf")</f>
        <v>https://transparencia.cidesi.mx/comprobantes/2021/CAQ210022 /C1F-1392123430255_AME880912I89.pdf</v>
      </c>
      <c r="AN370" t="str">
        <f>HYPERLINK("https://transparencia.cidesi.mx/comprobantes/2021/CAQ210022 /C1F-1392123430255_AME880912I89.pdf")</f>
        <v>https://transparencia.cidesi.mx/comprobantes/2021/CAQ210022 /C1F-1392123430255_AME880912I89.pdf</v>
      </c>
      <c r="AO370" t="str">
        <f>HYPERLINK("https://transparencia.cidesi.mx/comprobantes/2021/CAQ210022 /C1F-1392123430255_AME880912I89.xml")</f>
        <v>https://transparencia.cidesi.mx/comprobantes/2021/CAQ210022 /C1F-1392123430255_AME880912I89.xml</v>
      </c>
      <c r="AP370" t="s">
        <v>787</v>
      </c>
      <c r="AQ370" t="s">
        <v>788</v>
      </c>
      <c r="AR370" t="s">
        <v>789</v>
      </c>
      <c r="AS370" t="s">
        <v>790</v>
      </c>
      <c r="AT370" s="1">
        <v>44425</v>
      </c>
      <c r="AU370" s="1">
        <v>44428</v>
      </c>
    </row>
    <row r="371" spans="1:47" x14ac:dyDescent="0.3">
      <c r="A371" t="s">
        <v>47</v>
      </c>
      <c r="B371" t="s">
        <v>48</v>
      </c>
      <c r="C371" t="s">
        <v>49</v>
      </c>
      <c r="D371">
        <v>572</v>
      </c>
      <c r="E371" t="s">
        <v>768</v>
      </c>
      <c r="F371" t="s">
        <v>769</v>
      </c>
      <c r="G371" t="s">
        <v>770</v>
      </c>
      <c r="H371" t="s">
        <v>791</v>
      </c>
      <c r="I371" t="s">
        <v>54</v>
      </c>
      <c r="J371" t="s">
        <v>792</v>
      </c>
      <c r="K371" t="s">
        <v>56</v>
      </c>
      <c r="L371">
        <v>0</v>
      </c>
      <c r="M371" t="s">
        <v>73</v>
      </c>
      <c r="N371">
        <v>0</v>
      </c>
      <c r="O371" t="s">
        <v>58</v>
      </c>
      <c r="P371" t="s">
        <v>59</v>
      </c>
      <c r="Q371" t="s">
        <v>60</v>
      </c>
      <c r="R371" t="s">
        <v>792</v>
      </c>
      <c r="S371" s="1">
        <v>44466</v>
      </c>
      <c r="T371" s="1">
        <v>44466</v>
      </c>
      <c r="U371">
        <v>37501</v>
      </c>
      <c r="V371" t="s">
        <v>61</v>
      </c>
      <c r="W371" t="s">
        <v>793</v>
      </c>
      <c r="X371" s="1">
        <v>44467</v>
      </c>
      <c r="Y371" t="s">
        <v>63</v>
      </c>
      <c r="Z371">
        <v>228.45</v>
      </c>
      <c r="AA371">
        <v>16</v>
      </c>
      <c r="AB371">
        <v>36.549999999999997</v>
      </c>
      <c r="AC371">
        <v>0</v>
      </c>
      <c r="AD371">
        <v>265</v>
      </c>
      <c r="AE371">
        <v>265</v>
      </c>
      <c r="AF371">
        <v>545</v>
      </c>
      <c r="AG371" t="s">
        <v>775</v>
      </c>
      <c r="AH371" t="s">
        <v>65</v>
      </c>
      <c r="AI371" t="s">
        <v>65</v>
      </c>
      <c r="AJ371" t="s">
        <v>66</v>
      </c>
      <c r="AK371" t="s">
        <v>66</v>
      </c>
      <c r="AL371" t="s">
        <v>66</v>
      </c>
      <c r="AM371" s="2" t="str">
        <f>HYPERLINK("https://transparencia.cidesi.mx/comprobantes/2021/CQ2100899 /C10007502_ECM1302083N0.xml")</f>
        <v>https://transparencia.cidesi.mx/comprobantes/2021/CQ2100899 /C10007502_ECM1302083N0.xml</v>
      </c>
      <c r="AN371" t="str">
        <f>HYPERLINK("https://transparencia.cidesi.mx/comprobantes/2021/CQ2100899 /C10007502_ECM1302083N0.xml")</f>
        <v>https://transparencia.cidesi.mx/comprobantes/2021/CQ2100899 /C10007502_ECM1302083N0.xml</v>
      </c>
      <c r="AO371" t="str">
        <f>HYPERLINK("https://transparencia.cidesi.mx/comprobantes/2021/CQ2100899 /C10007502_ECM1302083N0.xml")</f>
        <v>https://transparencia.cidesi.mx/comprobantes/2021/CQ2100899 /C10007502_ECM1302083N0.xml</v>
      </c>
      <c r="AP371" t="s">
        <v>794</v>
      </c>
      <c r="AQ371" t="s">
        <v>795</v>
      </c>
      <c r="AR371" t="s">
        <v>796</v>
      </c>
      <c r="AS371" t="s">
        <v>797</v>
      </c>
      <c r="AT371" s="1">
        <v>44467</v>
      </c>
      <c r="AU371" s="1">
        <v>44473</v>
      </c>
    </row>
    <row r="372" spans="1:47" x14ac:dyDescent="0.3">
      <c r="A372" t="s">
        <v>246</v>
      </c>
      <c r="B372" t="s">
        <v>48</v>
      </c>
      <c r="C372" t="s">
        <v>338</v>
      </c>
      <c r="D372">
        <v>586</v>
      </c>
      <c r="E372" t="s">
        <v>798</v>
      </c>
      <c r="F372" t="s">
        <v>692</v>
      </c>
      <c r="G372" t="s">
        <v>799</v>
      </c>
      <c r="H372" t="s">
        <v>800</v>
      </c>
      <c r="I372" t="s">
        <v>54</v>
      </c>
      <c r="J372" t="s">
        <v>801</v>
      </c>
      <c r="K372" t="s">
        <v>56</v>
      </c>
      <c r="L372">
        <v>0</v>
      </c>
      <c r="M372" t="s">
        <v>73</v>
      </c>
      <c r="N372">
        <v>0</v>
      </c>
      <c r="O372" t="s">
        <v>58</v>
      </c>
      <c r="P372" t="s">
        <v>59</v>
      </c>
      <c r="Q372" t="s">
        <v>802</v>
      </c>
      <c r="R372" t="s">
        <v>801</v>
      </c>
      <c r="S372" s="1">
        <v>44388</v>
      </c>
      <c r="T372" s="1">
        <v>44392</v>
      </c>
      <c r="U372">
        <v>37501</v>
      </c>
      <c r="V372" t="s">
        <v>104</v>
      </c>
      <c r="W372" t="s">
        <v>803</v>
      </c>
      <c r="X372" s="1">
        <v>44392</v>
      </c>
      <c r="Y372" t="s">
        <v>63</v>
      </c>
      <c r="Z372">
        <v>2340</v>
      </c>
      <c r="AA372">
        <v>16</v>
      </c>
      <c r="AB372">
        <v>360</v>
      </c>
      <c r="AC372">
        <v>0</v>
      </c>
      <c r="AD372">
        <v>2700</v>
      </c>
      <c r="AE372">
        <v>6929.48</v>
      </c>
      <c r="AF372">
        <v>4909</v>
      </c>
      <c r="AG372" t="s">
        <v>804</v>
      </c>
      <c r="AH372" t="s">
        <v>65</v>
      </c>
      <c r="AI372" t="s">
        <v>65</v>
      </c>
      <c r="AJ372" t="s">
        <v>66</v>
      </c>
      <c r="AK372" t="s">
        <v>66</v>
      </c>
      <c r="AL372" t="s">
        <v>66</v>
      </c>
      <c r="AM372" s="2" t="str">
        <f>HYPERLINK("https://transparencia.cidesi.mx/comprobantes/2021/CQ2100512 /C1FCUUMIA-10037_DBM121023M10.pdf")</f>
        <v>https://transparencia.cidesi.mx/comprobantes/2021/CQ2100512 /C1FCUUMIA-10037_DBM121023M10.pdf</v>
      </c>
      <c r="AN372" t="str">
        <f>HYPERLINK("https://transparencia.cidesi.mx/comprobantes/2021/CQ2100512 /C1FCUUMIA-10037_DBM121023M10.pdf")</f>
        <v>https://transparencia.cidesi.mx/comprobantes/2021/CQ2100512 /C1FCUUMIA-10037_DBM121023M10.pdf</v>
      </c>
      <c r="AO372" t="str">
        <f>HYPERLINK("https://transparencia.cidesi.mx/comprobantes/2021/CQ2100512 /C1FCUUMIA-10037_DBM121023M10.xml")</f>
        <v>https://transparencia.cidesi.mx/comprobantes/2021/CQ2100512 /C1FCUUMIA-10037_DBM121023M10.xml</v>
      </c>
      <c r="AP372" t="s">
        <v>805</v>
      </c>
      <c r="AQ372" t="s">
        <v>806</v>
      </c>
      <c r="AR372" t="s">
        <v>807</v>
      </c>
      <c r="AS372" t="s">
        <v>808</v>
      </c>
      <c r="AT372" s="1">
        <v>44399</v>
      </c>
      <c r="AU372" s="1">
        <v>44420</v>
      </c>
    </row>
    <row r="373" spans="1:47" x14ac:dyDescent="0.3">
      <c r="A373" t="s">
        <v>246</v>
      </c>
      <c r="B373" t="s">
        <v>48</v>
      </c>
      <c r="C373" t="s">
        <v>338</v>
      </c>
      <c r="D373">
        <v>586</v>
      </c>
      <c r="E373" t="s">
        <v>798</v>
      </c>
      <c r="F373" t="s">
        <v>692</v>
      </c>
      <c r="G373" t="s">
        <v>799</v>
      </c>
      <c r="H373" t="s">
        <v>800</v>
      </c>
      <c r="I373" t="s">
        <v>54</v>
      </c>
      <c r="J373" t="s">
        <v>801</v>
      </c>
      <c r="K373" t="s">
        <v>56</v>
      </c>
      <c r="L373">
        <v>0</v>
      </c>
      <c r="M373" t="s">
        <v>73</v>
      </c>
      <c r="N373">
        <v>0</v>
      </c>
      <c r="O373" t="s">
        <v>58</v>
      </c>
      <c r="P373" t="s">
        <v>59</v>
      </c>
      <c r="Q373" t="s">
        <v>802</v>
      </c>
      <c r="R373" t="s">
        <v>801</v>
      </c>
      <c r="S373" s="1">
        <v>44388</v>
      </c>
      <c r="T373" s="1">
        <v>44392</v>
      </c>
      <c r="U373">
        <v>37501</v>
      </c>
      <c r="V373" t="s">
        <v>61</v>
      </c>
      <c r="W373" t="s">
        <v>803</v>
      </c>
      <c r="X373" s="1">
        <v>44392</v>
      </c>
      <c r="Y373" t="s">
        <v>63</v>
      </c>
      <c r="Z373">
        <v>253.45</v>
      </c>
      <c r="AA373">
        <v>16</v>
      </c>
      <c r="AB373">
        <v>40.549999999999997</v>
      </c>
      <c r="AC373">
        <v>30</v>
      </c>
      <c r="AD373">
        <v>324</v>
      </c>
      <c r="AE373">
        <v>6929.48</v>
      </c>
      <c r="AF373">
        <v>4909</v>
      </c>
      <c r="AG373" t="s">
        <v>809</v>
      </c>
      <c r="AH373" t="s">
        <v>65</v>
      </c>
      <c r="AI373" t="s">
        <v>65</v>
      </c>
      <c r="AJ373" t="s">
        <v>66</v>
      </c>
      <c r="AK373" t="s">
        <v>66</v>
      </c>
      <c r="AL373" t="s">
        <v>66</v>
      </c>
      <c r="AM373" s="2" t="str">
        <f>HYPERLINK("https://transparencia.cidesi.mx/comprobantes/2021/CQ2100512 /C2FCCHC311818_NDG071019LH4.pdf")</f>
        <v>https://transparencia.cidesi.mx/comprobantes/2021/CQ2100512 /C2FCCHC311818_NDG071019LH4.pdf</v>
      </c>
      <c r="AN373" t="str">
        <f>HYPERLINK("https://transparencia.cidesi.mx/comprobantes/2021/CQ2100512 /C2FCCHC311818_NDG071019LH4.pdf")</f>
        <v>https://transparencia.cidesi.mx/comprobantes/2021/CQ2100512 /C2FCCHC311818_NDG071019LH4.pdf</v>
      </c>
      <c r="AO373" t="str">
        <f>HYPERLINK("https://transparencia.cidesi.mx/comprobantes/2021/CQ2100512 /C2FCCHC311818_NDG071019LH4.xml")</f>
        <v>https://transparencia.cidesi.mx/comprobantes/2021/CQ2100512 /C2FCCHC311818_NDG071019LH4.xml</v>
      </c>
      <c r="AP373" t="s">
        <v>805</v>
      </c>
      <c r="AQ373" t="s">
        <v>806</v>
      </c>
      <c r="AR373" t="s">
        <v>807</v>
      </c>
      <c r="AS373" t="s">
        <v>808</v>
      </c>
      <c r="AT373" s="1">
        <v>44399</v>
      </c>
      <c r="AU373" s="1">
        <v>44420</v>
      </c>
    </row>
    <row r="374" spans="1:47" x14ac:dyDescent="0.3">
      <c r="A374" t="s">
        <v>246</v>
      </c>
      <c r="B374" t="s">
        <v>48</v>
      </c>
      <c r="C374" t="s">
        <v>338</v>
      </c>
      <c r="D374">
        <v>586</v>
      </c>
      <c r="E374" t="s">
        <v>798</v>
      </c>
      <c r="F374" t="s">
        <v>692</v>
      </c>
      <c r="G374" t="s">
        <v>799</v>
      </c>
      <c r="H374" t="s">
        <v>800</v>
      </c>
      <c r="I374" t="s">
        <v>54</v>
      </c>
      <c r="J374" t="s">
        <v>801</v>
      </c>
      <c r="K374" t="s">
        <v>56</v>
      </c>
      <c r="L374">
        <v>0</v>
      </c>
      <c r="M374" t="s">
        <v>73</v>
      </c>
      <c r="N374">
        <v>0</v>
      </c>
      <c r="O374" t="s">
        <v>58</v>
      </c>
      <c r="P374" t="s">
        <v>59</v>
      </c>
      <c r="Q374" t="s">
        <v>802</v>
      </c>
      <c r="R374" t="s">
        <v>801</v>
      </c>
      <c r="S374" s="1">
        <v>44388</v>
      </c>
      <c r="T374" s="1">
        <v>44392</v>
      </c>
      <c r="U374">
        <v>37501</v>
      </c>
      <c r="V374" t="s">
        <v>61</v>
      </c>
      <c r="W374" t="s">
        <v>803</v>
      </c>
      <c r="X374" s="1">
        <v>44392</v>
      </c>
      <c r="Y374" t="s">
        <v>63</v>
      </c>
      <c r="Z374">
        <v>214.66</v>
      </c>
      <c r="AA374">
        <v>16</v>
      </c>
      <c r="AB374">
        <v>34.340000000000003</v>
      </c>
      <c r="AC374">
        <v>25</v>
      </c>
      <c r="AD374">
        <v>274</v>
      </c>
      <c r="AE374">
        <v>6929.48</v>
      </c>
      <c r="AF374">
        <v>4909</v>
      </c>
      <c r="AG374" t="s">
        <v>809</v>
      </c>
      <c r="AH374" t="s">
        <v>65</v>
      </c>
      <c r="AI374" t="s">
        <v>65</v>
      </c>
      <c r="AJ374" t="s">
        <v>66</v>
      </c>
      <c r="AK374" t="s">
        <v>66</v>
      </c>
      <c r="AL374" t="s">
        <v>66</v>
      </c>
      <c r="AM374" s="2" t="str">
        <f>HYPERLINK("https://transparencia.cidesi.mx/comprobantes/2021/CQ2100512 /C3FCCHC311820_NDG071019LH4.pdf")</f>
        <v>https://transparencia.cidesi.mx/comprobantes/2021/CQ2100512 /C3FCCHC311820_NDG071019LH4.pdf</v>
      </c>
      <c r="AN374" t="str">
        <f>HYPERLINK("https://transparencia.cidesi.mx/comprobantes/2021/CQ2100512 /C3FCCHC311820_NDG071019LH4.pdf")</f>
        <v>https://transparencia.cidesi.mx/comprobantes/2021/CQ2100512 /C3FCCHC311820_NDG071019LH4.pdf</v>
      </c>
      <c r="AO374" t="str">
        <f>HYPERLINK("https://transparencia.cidesi.mx/comprobantes/2021/CQ2100512 /C3FCCHC311820_NDG071019LH4.xml")</f>
        <v>https://transparencia.cidesi.mx/comprobantes/2021/CQ2100512 /C3FCCHC311820_NDG071019LH4.xml</v>
      </c>
      <c r="AP374" t="s">
        <v>805</v>
      </c>
      <c r="AQ374" t="s">
        <v>806</v>
      </c>
      <c r="AR374" t="s">
        <v>807</v>
      </c>
      <c r="AS374" t="s">
        <v>808</v>
      </c>
      <c r="AT374" s="1">
        <v>44399</v>
      </c>
      <c r="AU374" s="1">
        <v>44420</v>
      </c>
    </row>
    <row r="375" spans="1:47" x14ac:dyDescent="0.3">
      <c r="A375" t="s">
        <v>246</v>
      </c>
      <c r="B375" t="s">
        <v>48</v>
      </c>
      <c r="C375" t="s">
        <v>338</v>
      </c>
      <c r="D375">
        <v>586</v>
      </c>
      <c r="E375" t="s">
        <v>798</v>
      </c>
      <c r="F375" t="s">
        <v>692</v>
      </c>
      <c r="G375" t="s">
        <v>799</v>
      </c>
      <c r="H375" t="s">
        <v>800</v>
      </c>
      <c r="I375" t="s">
        <v>54</v>
      </c>
      <c r="J375" t="s">
        <v>801</v>
      </c>
      <c r="K375" t="s">
        <v>56</v>
      </c>
      <c r="L375">
        <v>0</v>
      </c>
      <c r="M375" t="s">
        <v>73</v>
      </c>
      <c r="N375">
        <v>0</v>
      </c>
      <c r="O375" t="s">
        <v>58</v>
      </c>
      <c r="P375" t="s">
        <v>59</v>
      </c>
      <c r="Q375" t="s">
        <v>802</v>
      </c>
      <c r="R375" t="s">
        <v>801</v>
      </c>
      <c r="S375" s="1">
        <v>44388</v>
      </c>
      <c r="T375" s="1">
        <v>44392</v>
      </c>
      <c r="U375">
        <v>37501</v>
      </c>
      <c r="V375" t="s">
        <v>61</v>
      </c>
      <c r="W375" t="s">
        <v>803</v>
      </c>
      <c r="X375" s="1">
        <v>44392</v>
      </c>
      <c r="Y375" t="s">
        <v>63</v>
      </c>
      <c r="Z375">
        <v>134.47999999999999</v>
      </c>
      <c r="AA375">
        <v>16</v>
      </c>
      <c r="AB375">
        <v>21.52</v>
      </c>
      <c r="AC375">
        <v>0</v>
      </c>
      <c r="AD375">
        <v>156</v>
      </c>
      <c r="AE375">
        <v>6929.48</v>
      </c>
      <c r="AF375">
        <v>4909</v>
      </c>
      <c r="AG375" t="s">
        <v>809</v>
      </c>
      <c r="AH375" t="s">
        <v>65</v>
      </c>
      <c r="AI375" t="s">
        <v>65</v>
      </c>
      <c r="AJ375" t="s">
        <v>66</v>
      </c>
      <c r="AK375" t="s">
        <v>66</v>
      </c>
      <c r="AL375" t="s">
        <v>66</v>
      </c>
      <c r="AM375" s="2" t="str">
        <f>HYPERLINK("https://transparencia.cidesi.mx/comprobantes/2021/CQ2100512 /C4FK7337_SFR170915VD0.pdf")</f>
        <v>https://transparencia.cidesi.mx/comprobantes/2021/CQ2100512 /C4FK7337_SFR170915VD0.pdf</v>
      </c>
      <c r="AN375" t="str">
        <f>HYPERLINK("https://transparencia.cidesi.mx/comprobantes/2021/CQ2100512 /C4FK7337_SFR170915VD0.pdf")</f>
        <v>https://transparencia.cidesi.mx/comprobantes/2021/CQ2100512 /C4FK7337_SFR170915VD0.pdf</v>
      </c>
      <c r="AO375" t="str">
        <f>HYPERLINK("https://transparencia.cidesi.mx/comprobantes/2021/CQ2100512 /C4FK7337_SFR170915VD0.xml")</f>
        <v>https://transparencia.cidesi.mx/comprobantes/2021/CQ2100512 /C4FK7337_SFR170915VD0.xml</v>
      </c>
      <c r="AP375" t="s">
        <v>805</v>
      </c>
      <c r="AQ375" t="s">
        <v>806</v>
      </c>
      <c r="AR375" t="s">
        <v>807</v>
      </c>
      <c r="AS375" t="s">
        <v>808</v>
      </c>
      <c r="AT375" s="1">
        <v>44399</v>
      </c>
      <c r="AU375" s="1">
        <v>44420</v>
      </c>
    </row>
    <row r="376" spans="1:47" x14ac:dyDescent="0.3">
      <c r="A376" t="s">
        <v>246</v>
      </c>
      <c r="B376" t="s">
        <v>48</v>
      </c>
      <c r="C376" t="s">
        <v>338</v>
      </c>
      <c r="D376">
        <v>586</v>
      </c>
      <c r="E376" t="s">
        <v>798</v>
      </c>
      <c r="F376" t="s">
        <v>692</v>
      </c>
      <c r="G376" t="s">
        <v>799</v>
      </c>
      <c r="H376" t="s">
        <v>800</v>
      </c>
      <c r="I376" t="s">
        <v>54</v>
      </c>
      <c r="J376" t="s">
        <v>801</v>
      </c>
      <c r="K376" t="s">
        <v>56</v>
      </c>
      <c r="L376">
        <v>0</v>
      </c>
      <c r="M376" t="s">
        <v>73</v>
      </c>
      <c r="N376">
        <v>0</v>
      </c>
      <c r="O376" t="s">
        <v>58</v>
      </c>
      <c r="P376" t="s">
        <v>59</v>
      </c>
      <c r="Q376" t="s">
        <v>802</v>
      </c>
      <c r="R376" t="s">
        <v>801</v>
      </c>
      <c r="S376" s="1">
        <v>44388</v>
      </c>
      <c r="T376" s="1">
        <v>44392</v>
      </c>
      <c r="U376">
        <v>37501</v>
      </c>
      <c r="V376" t="s">
        <v>534</v>
      </c>
      <c r="W376" t="s">
        <v>803</v>
      </c>
      <c r="X376" s="1">
        <v>44392</v>
      </c>
      <c r="Y376" t="s">
        <v>63</v>
      </c>
      <c r="Z376">
        <v>77.52</v>
      </c>
      <c r="AA376">
        <v>16</v>
      </c>
      <c r="AB376">
        <v>12.4</v>
      </c>
      <c r="AC376">
        <v>0</v>
      </c>
      <c r="AD376">
        <v>89.92</v>
      </c>
      <c r="AE376">
        <v>6929.48</v>
      </c>
      <c r="AF376">
        <v>4909</v>
      </c>
      <c r="AG376" t="s">
        <v>810</v>
      </c>
      <c r="AH376" t="s">
        <v>66</v>
      </c>
      <c r="AI376" t="s">
        <v>65</v>
      </c>
      <c r="AJ376" t="s">
        <v>66</v>
      </c>
      <c r="AK376" t="s">
        <v>66</v>
      </c>
      <c r="AL376" t="s">
        <v>66</v>
      </c>
      <c r="AM376" s="2" t="str">
        <f>HYPERLINK("https://transparencia.cidesi.mx/comprobantes/2021/CQ2100512 /C5FA72A3-0001370_MATM990326MA7.pdf")</f>
        <v>https://transparencia.cidesi.mx/comprobantes/2021/CQ2100512 /C5FA72A3-0001370_MATM990326MA7.pdf</v>
      </c>
      <c r="AN376" t="str">
        <f>HYPERLINK("https://transparencia.cidesi.mx/comprobantes/2021/CQ2100512 /C5FA72A3-0001370_MATM990326MA7.pdf")</f>
        <v>https://transparencia.cidesi.mx/comprobantes/2021/CQ2100512 /C5FA72A3-0001370_MATM990326MA7.pdf</v>
      </c>
      <c r="AO376" t="str">
        <f>HYPERLINK("https://transparencia.cidesi.mx/comprobantes/2021/CQ2100512 /C5FA72A3-0001370_MATM990326MA7.xml")</f>
        <v>https://transparencia.cidesi.mx/comprobantes/2021/CQ2100512 /C5FA72A3-0001370_MATM990326MA7.xml</v>
      </c>
      <c r="AP376" t="s">
        <v>805</v>
      </c>
      <c r="AQ376" t="s">
        <v>806</v>
      </c>
      <c r="AR376" t="s">
        <v>807</v>
      </c>
      <c r="AS376" t="s">
        <v>808</v>
      </c>
      <c r="AT376" s="1">
        <v>44399</v>
      </c>
      <c r="AU376" s="1">
        <v>44420</v>
      </c>
    </row>
    <row r="377" spans="1:47" x14ac:dyDescent="0.3">
      <c r="A377" t="s">
        <v>246</v>
      </c>
      <c r="B377" t="s">
        <v>48</v>
      </c>
      <c r="C377" t="s">
        <v>338</v>
      </c>
      <c r="D377">
        <v>586</v>
      </c>
      <c r="E377" t="s">
        <v>798</v>
      </c>
      <c r="F377" t="s">
        <v>692</v>
      </c>
      <c r="G377" t="s">
        <v>799</v>
      </c>
      <c r="H377" t="s">
        <v>800</v>
      </c>
      <c r="I377" t="s">
        <v>54</v>
      </c>
      <c r="J377" t="s">
        <v>801</v>
      </c>
      <c r="K377" t="s">
        <v>56</v>
      </c>
      <c r="L377">
        <v>0</v>
      </c>
      <c r="M377" t="s">
        <v>73</v>
      </c>
      <c r="N377">
        <v>0</v>
      </c>
      <c r="O377" t="s">
        <v>58</v>
      </c>
      <c r="P377" t="s">
        <v>59</v>
      </c>
      <c r="Q377" t="s">
        <v>802</v>
      </c>
      <c r="R377" t="s">
        <v>801</v>
      </c>
      <c r="S377" s="1">
        <v>44388</v>
      </c>
      <c r="T377" s="1">
        <v>44392</v>
      </c>
      <c r="U377">
        <v>37501</v>
      </c>
      <c r="V377" t="s">
        <v>534</v>
      </c>
      <c r="W377" t="s">
        <v>803</v>
      </c>
      <c r="X377" s="1">
        <v>44392</v>
      </c>
      <c r="Y377" t="s">
        <v>63</v>
      </c>
      <c r="Z377">
        <v>78.930000000000007</v>
      </c>
      <c r="AA377">
        <v>16</v>
      </c>
      <c r="AB377">
        <v>12.63</v>
      </c>
      <c r="AC377">
        <v>0</v>
      </c>
      <c r="AD377">
        <v>91.56</v>
      </c>
      <c r="AE377">
        <v>6929.48</v>
      </c>
      <c r="AF377">
        <v>4909</v>
      </c>
      <c r="AG377" t="s">
        <v>810</v>
      </c>
      <c r="AH377" t="s">
        <v>66</v>
      </c>
      <c r="AI377" t="s">
        <v>65</v>
      </c>
      <c r="AJ377" t="s">
        <v>66</v>
      </c>
      <c r="AK377" t="s">
        <v>66</v>
      </c>
      <c r="AL377" t="s">
        <v>66</v>
      </c>
      <c r="AM377" s="2" t="str">
        <f>HYPERLINK("https://transparencia.cidesi.mx/comprobantes/2021/CQ2100512 /C6F852F8-0000180_SASM8107106M7.pdf")</f>
        <v>https://transparencia.cidesi.mx/comprobantes/2021/CQ2100512 /C6F852F8-0000180_SASM8107106M7.pdf</v>
      </c>
      <c r="AN377" t="str">
        <f>HYPERLINK("https://transparencia.cidesi.mx/comprobantes/2021/CQ2100512 /C6F852F8-0000180_SASM8107106M7.pdf")</f>
        <v>https://transparencia.cidesi.mx/comprobantes/2021/CQ2100512 /C6F852F8-0000180_SASM8107106M7.pdf</v>
      </c>
      <c r="AO377" t="str">
        <f>HYPERLINK("https://transparencia.cidesi.mx/comprobantes/2021/CQ2100512 /C6F852F8-0000180_SASM8107106M7.xml")</f>
        <v>https://transparencia.cidesi.mx/comprobantes/2021/CQ2100512 /C6F852F8-0000180_SASM8107106M7.xml</v>
      </c>
      <c r="AP377" t="s">
        <v>805</v>
      </c>
      <c r="AQ377" t="s">
        <v>806</v>
      </c>
      <c r="AR377" t="s">
        <v>807</v>
      </c>
      <c r="AS377" t="s">
        <v>808</v>
      </c>
      <c r="AT377" s="1">
        <v>44399</v>
      </c>
      <c r="AU377" s="1">
        <v>44420</v>
      </c>
    </row>
    <row r="378" spans="1:47" x14ac:dyDescent="0.3">
      <c r="A378" t="s">
        <v>246</v>
      </c>
      <c r="B378" t="s">
        <v>48</v>
      </c>
      <c r="C378" t="s">
        <v>338</v>
      </c>
      <c r="D378">
        <v>586</v>
      </c>
      <c r="E378" t="s">
        <v>798</v>
      </c>
      <c r="F378" t="s">
        <v>692</v>
      </c>
      <c r="G378" t="s">
        <v>799</v>
      </c>
      <c r="H378" t="s">
        <v>800</v>
      </c>
      <c r="I378" t="s">
        <v>54</v>
      </c>
      <c r="J378" t="s">
        <v>801</v>
      </c>
      <c r="K378" t="s">
        <v>56</v>
      </c>
      <c r="L378">
        <v>0</v>
      </c>
      <c r="M378" t="s">
        <v>73</v>
      </c>
      <c r="N378">
        <v>0</v>
      </c>
      <c r="O378" t="s">
        <v>58</v>
      </c>
      <c r="P378" t="s">
        <v>59</v>
      </c>
      <c r="Q378" t="s">
        <v>802</v>
      </c>
      <c r="R378" t="s">
        <v>801</v>
      </c>
      <c r="S378" s="1">
        <v>44388</v>
      </c>
      <c r="T378" s="1">
        <v>44392</v>
      </c>
      <c r="U378">
        <v>37201</v>
      </c>
      <c r="V378" t="s">
        <v>417</v>
      </c>
      <c r="W378" t="s">
        <v>803</v>
      </c>
      <c r="X378" s="1">
        <v>44392</v>
      </c>
      <c r="Y378" t="s">
        <v>63</v>
      </c>
      <c r="Z378">
        <v>2839.66</v>
      </c>
      <c r="AA378">
        <v>16</v>
      </c>
      <c r="AB378">
        <v>454.34</v>
      </c>
      <c r="AC378">
        <v>0</v>
      </c>
      <c r="AD378">
        <v>3294</v>
      </c>
      <c r="AE378">
        <v>6929.48</v>
      </c>
      <c r="AF378">
        <v>4909</v>
      </c>
      <c r="AG378" t="s">
        <v>811</v>
      </c>
      <c r="AH378" t="s">
        <v>66</v>
      </c>
      <c r="AI378" t="s">
        <v>65</v>
      </c>
      <c r="AJ378" t="s">
        <v>66</v>
      </c>
      <c r="AK378" t="s">
        <v>66</v>
      </c>
      <c r="AL378" t="s">
        <v>66</v>
      </c>
      <c r="AM378" s="2" t="str">
        <f>HYPERLINK("https://transparencia.cidesi.mx/comprobantes/2021/CQ2100512 /C7FOMB3728936_OME561118AA8.pdf")</f>
        <v>https://transparencia.cidesi.mx/comprobantes/2021/CQ2100512 /C7FOMB3728936_OME561118AA8.pdf</v>
      </c>
      <c r="AN378" t="str">
        <f>HYPERLINK("https://transparencia.cidesi.mx/comprobantes/2021/CQ2100512 /C7FOMB3728936_OME561118AA8.pdf")</f>
        <v>https://transparencia.cidesi.mx/comprobantes/2021/CQ2100512 /C7FOMB3728936_OME561118AA8.pdf</v>
      </c>
      <c r="AO378" t="str">
        <f>HYPERLINK("https://transparencia.cidesi.mx/comprobantes/2021/CQ2100512 /C7FOMB3728936_OME561118AA8.xml")</f>
        <v>https://transparencia.cidesi.mx/comprobantes/2021/CQ2100512 /C7FOMB3728936_OME561118AA8.xml</v>
      </c>
      <c r="AP378" t="s">
        <v>805</v>
      </c>
      <c r="AQ378" t="s">
        <v>806</v>
      </c>
      <c r="AR378" t="s">
        <v>807</v>
      </c>
      <c r="AS378" t="s">
        <v>808</v>
      </c>
      <c r="AT378" s="1">
        <v>44399</v>
      </c>
      <c r="AU378" s="1">
        <v>44420</v>
      </c>
    </row>
    <row r="379" spans="1:47" x14ac:dyDescent="0.3">
      <c r="A379" t="s">
        <v>246</v>
      </c>
      <c r="B379" t="s">
        <v>48</v>
      </c>
      <c r="C379" t="s">
        <v>338</v>
      </c>
      <c r="D379">
        <v>586</v>
      </c>
      <c r="E379" t="s">
        <v>798</v>
      </c>
      <c r="F379" t="s">
        <v>692</v>
      </c>
      <c r="G379" t="s">
        <v>799</v>
      </c>
      <c r="H379" t="s">
        <v>812</v>
      </c>
      <c r="I379" t="s">
        <v>54</v>
      </c>
      <c r="J379" t="s">
        <v>813</v>
      </c>
      <c r="K379" t="s">
        <v>56</v>
      </c>
      <c r="L379">
        <v>0</v>
      </c>
      <c r="M379" t="s">
        <v>73</v>
      </c>
      <c r="N379">
        <v>0</v>
      </c>
      <c r="O379" t="s">
        <v>58</v>
      </c>
      <c r="P379" t="s">
        <v>59</v>
      </c>
      <c r="Q379" t="s">
        <v>297</v>
      </c>
      <c r="R379" t="s">
        <v>813</v>
      </c>
      <c r="S379" s="1">
        <v>44430</v>
      </c>
      <c r="T379" s="1">
        <v>44435</v>
      </c>
      <c r="U379">
        <v>37501</v>
      </c>
      <c r="V379" t="s">
        <v>104</v>
      </c>
      <c r="W379" t="s">
        <v>814</v>
      </c>
      <c r="X379" s="1">
        <v>44441</v>
      </c>
      <c r="Y379" t="s">
        <v>63</v>
      </c>
      <c r="Z379">
        <v>2827.35</v>
      </c>
      <c r="AA379">
        <v>16</v>
      </c>
      <c r="AB379">
        <v>439.2</v>
      </c>
      <c r="AC379">
        <v>0</v>
      </c>
      <c r="AD379">
        <v>3266.55</v>
      </c>
      <c r="AE379">
        <v>5982.16</v>
      </c>
      <c r="AF379">
        <v>6000</v>
      </c>
      <c r="AG379" t="s">
        <v>804</v>
      </c>
      <c r="AH379" t="s">
        <v>65</v>
      </c>
      <c r="AI379" t="s">
        <v>65</v>
      </c>
      <c r="AJ379" t="s">
        <v>66</v>
      </c>
      <c r="AK379" t="s">
        <v>66</v>
      </c>
      <c r="AL379" t="s">
        <v>66</v>
      </c>
      <c r="AM379" s="2" t="str">
        <f>HYPERLINK("https://transparencia.cidesi.mx/comprobantes/2021/CQ2100725 /C1FCEMTA141084_SCC171019SQ7.pdf")</f>
        <v>https://transparencia.cidesi.mx/comprobantes/2021/CQ2100725 /C1FCEMTA141084_SCC171019SQ7.pdf</v>
      </c>
      <c r="AN379" t="str">
        <f>HYPERLINK("https://transparencia.cidesi.mx/comprobantes/2021/CQ2100725 /C1FCEMTA141084_SCC171019SQ7.pdf")</f>
        <v>https://transparencia.cidesi.mx/comprobantes/2021/CQ2100725 /C1FCEMTA141084_SCC171019SQ7.pdf</v>
      </c>
      <c r="AO379" t="str">
        <f>HYPERLINK("https://transparencia.cidesi.mx/comprobantes/2021/CQ2100725 /C1FCEMTA141084_SCC171019SQ7.xml")</f>
        <v>https://transparencia.cidesi.mx/comprobantes/2021/CQ2100725 /C1FCEMTA141084_SCC171019SQ7.xml</v>
      </c>
      <c r="AP379" t="s">
        <v>815</v>
      </c>
      <c r="AQ379" t="s">
        <v>816</v>
      </c>
      <c r="AR379" t="s">
        <v>817</v>
      </c>
      <c r="AS379" t="s">
        <v>818</v>
      </c>
      <c r="AT379" s="1">
        <v>44445</v>
      </c>
      <c r="AU379" s="1">
        <v>44447</v>
      </c>
    </row>
    <row r="380" spans="1:47" x14ac:dyDescent="0.3">
      <c r="A380" t="s">
        <v>246</v>
      </c>
      <c r="B380" t="s">
        <v>48</v>
      </c>
      <c r="C380" t="s">
        <v>338</v>
      </c>
      <c r="D380">
        <v>586</v>
      </c>
      <c r="E380" t="s">
        <v>798</v>
      </c>
      <c r="F380" t="s">
        <v>692</v>
      </c>
      <c r="G380" t="s">
        <v>799</v>
      </c>
      <c r="H380" t="s">
        <v>812</v>
      </c>
      <c r="I380" t="s">
        <v>54</v>
      </c>
      <c r="J380" t="s">
        <v>813</v>
      </c>
      <c r="K380" t="s">
        <v>56</v>
      </c>
      <c r="L380">
        <v>0</v>
      </c>
      <c r="M380" t="s">
        <v>73</v>
      </c>
      <c r="N380">
        <v>0</v>
      </c>
      <c r="O380" t="s">
        <v>58</v>
      </c>
      <c r="P380" t="s">
        <v>59</v>
      </c>
      <c r="Q380" t="s">
        <v>297</v>
      </c>
      <c r="R380" t="s">
        <v>813</v>
      </c>
      <c r="S380" s="1">
        <v>44430</v>
      </c>
      <c r="T380" s="1">
        <v>44435</v>
      </c>
      <c r="U380">
        <v>37501</v>
      </c>
      <c r="V380" t="s">
        <v>104</v>
      </c>
      <c r="W380" t="s">
        <v>814</v>
      </c>
      <c r="X380" s="1">
        <v>44441</v>
      </c>
      <c r="Y380" t="s">
        <v>63</v>
      </c>
      <c r="Z380">
        <v>1884.9</v>
      </c>
      <c r="AA380">
        <v>16</v>
      </c>
      <c r="AB380">
        <v>292.8</v>
      </c>
      <c r="AC380">
        <v>0</v>
      </c>
      <c r="AD380">
        <v>2177.6999999999998</v>
      </c>
      <c r="AE380">
        <v>5982.16</v>
      </c>
      <c r="AF380">
        <v>6000</v>
      </c>
      <c r="AG380" t="s">
        <v>804</v>
      </c>
      <c r="AH380" t="s">
        <v>65</v>
      </c>
      <c r="AI380" t="s">
        <v>65</v>
      </c>
      <c r="AJ380" t="s">
        <v>66</v>
      </c>
      <c r="AK380" t="s">
        <v>66</v>
      </c>
      <c r="AL380" t="s">
        <v>66</v>
      </c>
      <c r="AM380" s="2" t="str">
        <f>HYPERLINK("https://transparencia.cidesi.mx/comprobantes/2021/CQ2100725 /C2FCEMTA141073_SCC171019SQ7.pdf")</f>
        <v>https://transparencia.cidesi.mx/comprobantes/2021/CQ2100725 /C2FCEMTA141073_SCC171019SQ7.pdf</v>
      </c>
      <c r="AN380" t="str">
        <f>HYPERLINK("https://transparencia.cidesi.mx/comprobantes/2021/CQ2100725 /C2FCEMTA141073_SCC171019SQ7.pdf")</f>
        <v>https://transparencia.cidesi.mx/comprobantes/2021/CQ2100725 /C2FCEMTA141073_SCC171019SQ7.pdf</v>
      </c>
      <c r="AO380" t="str">
        <f>HYPERLINK("https://transparencia.cidesi.mx/comprobantes/2021/CQ2100725 /C2FCEMTA141073_SCC171019SQ7.xml")</f>
        <v>https://transparencia.cidesi.mx/comprobantes/2021/CQ2100725 /C2FCEMTA141073_SCC171019SQ7.xml</v>
      </c>
      <c r="AP380" t="s">
        <v>815</v>
      </c>
      <c r="AQ380" t="s">
        <v>816</v>
      </c>
      <c r="AR380" t="s">
        <v>817</v>
      </c>
      <c r="AS380" t="s">
        <v>818</v>
      </c>
      <c r="AT380" s="1">
        <v>44445</v>
      </c>
      <c r="AU380" s="1">
        <v>44447</v>
      </c>
    </row>
    <row r="381" spans="1:47" x14ac:dyDescent="0.3">
      <c r="A381" t="s">
        <v>246</v>
      </c>
      <c r="B381" t="s">
        <v>48</v>
      </c>
      <c r="C381" t="s">
        <v>338</v>
      </c>
      <c r="D381">
        <v>586</v>
      </c>
      <c r="E381" t="s">
        <v>798</v>
      </c>
      <c r="F381" t="s">
        <v>692</v>
      </c>
      <c r="G381" t="s">
        <v>799</v>
      </c>
      <c r="H381" t="s">
        <v>812</v>
      </c>
      <c r="I381" t="s">
        <v>54</v>
      </c>
      <c r="J381" t="s">
        <v>813</v>
      </c>
      <c r="K381" t="s">
        <v>56</v>
      </c>
      <c r="L381">
        <v>0</v>
      </c>
      <c r="M381" t="s">
        <v>73</v>
      </c>
      <c r="N381">
        <v>0</v>
      </c>
      <c r="O381" t="s">
        <v>58</v>
      </c>
      <c r="P381" t="s">
        <v>59</v>
      </c>
      <c r="Q381" t="s">
        <v>297</v>
      </c>
      <c r="R381" t="s">
        <v>813</v>
      </c>
      <c r="S381" s="1">
        <v>44430</v>
      </c>
      <c r="T381" s="1">
        <v>44435</v>
      </c>
      <c r="U381">
        <v>37501</v>
      </c>
      <c r="V381" t="s">
        <v>61</v>
      </c>
      <c r="W381" t="s">
        <v>814</v>
      </c>
      <c r="X381" s="1">
        <v>44441</v>
      </c>
      <c r="Y381" t="s">
        <v>63</v>
      </c>
      <c r="Z381">
        <v>189.66</v>
      </c>
      <c r="AA381">
        <v>16</v>
      </c>
      <c r="AB381">
        <v>30.35</v>
      </c>
      <c r="AC381">
        <v>0</v>
      </c>
      <c r="AD381">
        <v>220.01</v>
      </c>
      <c r="AE381">
        <v>5982.16</v>
      </c>
      <c r="AF381">
        <v>6000</v>
      </c>
      <c r="AG381" t="s">
        <v>809</v>
      </c>
      <c r="AH381" t="s">
        <v>65</v>
      </c>
      <c r="AI381" t="s">
        <v>65</v>
      </c>
      <c r="AJ381" t="s">
        <v>66</v>
      </c>
      <c r="AK381" t="s">
        <v>66</v>
      </c>
      <c r="AL381" t="s">
        <v>66</v>
      </c>
      <c r="AM381" s="2" t="str">
        <f>HYPERLINK("https://transparencia.cidesi.mx/comprobantes/2021/CQ2100725 /C3FJ6228_MALR7111112M7.pdf")</f>
        <v>https://transparencia.cidesi.mx/comprobantes/2021/CQ2100725 /C3FJ6228_MALR7111112M7.pdf</v>
      </c>
      <c r="AN381" t="str">
        <f>HYPERLINK("https://transparencia.cidesi.mx/comprobantes/2021/CQ2100725 /C3FJ6228_MALR7111112M7.pdf")</f>
        <v>https://transparencia.cidesi.mx/comprobantes/2021/CQ2100725 /C3FJ6228_MALR7111112M7.pdf</v>
      </c>
      <c r="AO381" t="str">
        <f>HYPERLINK("https://transparencia.cidesi.mx/comprobantes/2021/CQ2100725 /C3FJ6228_MALR7111112M7.xml")</f>
        <v>https://transparencia.cidesi.mx/comprobantes/2021/CQ2100725 /C3FJ6228_MALR7111112M7.xml</v>
      </c>
      <c r="AP381" t="s">
        <v>815</v>
      </c>
      <c r="AQ381" t="s">
        <v>816</v>
      </c>
      <c r="AR381" t="s">
        <v>817</v>
      </c>
      <c r="AS381" t="s">
        <v>818</v>
      </c>
      <c r="AT381" s="1">
        <v>44445</v>
      </c>
      <c r="AU381" s="1">
        <v>44447</v>
      </c>
    </row>
    <row r="382" spans="1:47" x14ac:dyDescent="0.3">
      <c r="A382" t="s">
        <v>246</v>
      </c>
      <c r="B382" t="s">
        <v>48</v>
      </c>
      <c r="C382" t="s">
        <v>338</v>
      </c>
      <c r="D382">
        <v>586</v>
      </c>
      <c r="E382" t="s">
        <v>798</v>
      </c>
      <c r="F382" t="s">
        <v>692</v>
      </c>
      <c r="G382" t="s">
        <v>799</v>
      </c>
      <c r="H382" t="s">
        <v>812</v>
      </c>
      <c r="I382" t="s">
        <v>54</v>
      </c>
      <c r="J382" t="s">
        <v>813</v>
      </c>
      <c r="K382" t="s">
        <v>56</v>
      </c>
      <c r="L382">
        <v>0</v>
      </c>
      <c r="M382" t="s">
        <v>73</v>
      </c>
      <c r="N382">
        <v>0</v>
      </c>
      <c r="O382" t="s">
        <v>58</v>
      </c>
      <c r="P382" t="s">
        <v>59</v>
      </c>
      <c r="Q382" t="s">
        <v>297</v>
      </c>
      <c r="R382" t="s">
        <v>813</v>
      </c>
      <c r="S382" s="1">
        <v>44430</v>
      </c>
      <c r="T382" s="1">
        <v>44435</v>
      </c>
      <c r="U382">
        <v>37501</v>
      </c>
      <c r="V382" t="s">
        <v>61</v>
      </c>
      <c r="W382" t="s">
        <v>814</v>
      </c>
      <c r="X382" s="1">
        <v>44441</v>
      </c>
      <c r="Y382" t="s">
        <v>63</v>
      </c>
      <c r="Z382">
        <v>155.52000000000001</v>
      </c>
      <c r="AA382">
        <v>16</v>
      </c>
      <c r="AB382">
        <v>24.88</v>
      </c>
      <c r="AC382">
        <v>0</v>
      </c>
      <c r="AD382">
        <v>180.4</v>
      </c>
      <c r="AE382">
        <v>5982.16</v>
      </c>
      <c r="AF382">
        <v>6000</v>
      </c>
      <c r="AG382" t="s">
        <v>809</v>
      </c>
      <c r="AH382" t="s">
        <v>65</v>
      </c>
      <c r="AI382" t="s">
        <v>65</v>
      </c>
      <c r="AJ382" t="s">
        <v>66</v>
      </c>
      <c r="AK382" t="s">
        <v>66</v>
      </c>
      <c r="AL382" t="s">
        <v>66</v>
      </c>
      <c r="AM382" s="2" t="str">
        <f>HYPERLINK("https://transparencia.cidesi.mx/comprobantes/2021/CQ2100725 /C4FA8799_OIC100305EM0.pdf")</f>
        <v>https://transparencia.cidesi.mx/comprobantes/2021/CQ2100725 /C4FA8799_OIC100305EM0.pdf</v>
      </c>
      <c r="AN382" t="str">
        <f>HYPERLINK("https://transparencia.cidesi.mx/comprobantes/2021/CQ2100725 /C4FA8799_OIC100305EM0.pdf")</f>
        <v>https://transparencia.cidesi.mx/comprobantes/2021/CQ2100725 /C4FA8799_OIC100305EM0.pdf</v>
      </c>
      <c r="AO382" t="str">
        <f>HYPERLINK("https://transparencia.cidesi.mx/comprobantes/2021/CQ2100725 /C4F8799_OIC100305EM0.xml")</f>
        <v>https://transparencia.cidesi.mx/comprobantes/2021/CQ2100725 /C4F8799_OIC100305EM0.xml</v>
      </c>
      <c r="AP382" t="s">
        <v>815</v>
      </c>
      <c r="AQ382" t="s">
        <v>816</v>
      </c>
      <c r="AR382" t="s">
        <v>817</v>
      </c>
      <c r="AS382" t="s">
        <v>818</v>
      </c>
      <c r="AT382" s="1">
        <v>44445</v>
      </c>
      <c r="AU382" s="1">
        <v>44447</v>
      </c>
    </row>
    <row r="383" spans="1:47" x14ac:dyDescent="0.3">
      <c r="A383" t="s">
        <v>246</v>
      </c>
      <c r="B383" t="s">
        <v>48</v>
      </c>
      <c r="C383" t="s">
        <v>338</v>
      </c>
      <c r="D383">
        <v>586</v>
      </c>
      <c r="E383" t="s">
        <v>798</v>
      </c>
      <c r="F383" t="s">
        <v>692</v>
      </c>
      <c r="G383" t="s">
        <v>799</v>
      </c>
      <c r="H383" t="s">
        <v>812</v>
      </c>
      <c r="I383" t="s">
        <v>54</v>
      </c>
      <c r="J383" t="s">
        <v>813</v>
      </c>
      <c r="K383" t="s">
        <v>56</v>
      </c>
      <c r="L383">
        <v>0</v>
      </c>
      <c r="M383" t="s">
        <v>73</v>
      </c>
      <c r="N383">
        <v>0</v>
      </c>
      <c r="O383" t="s">
        <v>58</v>
      </c>
      <c r="P383" t="s">
        <v>59</v>
      </c>
      <c r="Q383" t="s">
        <v>297</v>
      </c>
      <c r="R383" t="s">
        <v>813</v>
      </c>
      <c r="S383" s="1">
        <v>44430</v>
      </c>
      <c r="T383" s="1">
        <v>44435</v>
      </c>
      <c r="U383">
        <v>37501</v>
      </c>
      <c r="V383" t="s">
        <v>61</v>
      </c>
      <c r="W383" t="s">
        <v>814</v>
      </c>
      <c r="X383" s="1">
        <v>44441</v>
      </c>
      <c r="Y383" t="s">
        <v>63</v>
      </c>
      <c r="Z383">
        <v>107.76</v>
      </c>
      <c r="AA383">
        <v>16</v>
      </c>
      <c r="AB383">
        <v>17.239999999999998</v>
      </c>
      <c r="AC383">
        <v>12.5</v>
      </c>
      <c r="AD383">
        <v>137.5</v>
      </c>
      <c r="AE383">
        <v>5982.16</v>
      </c>
      <c r="AF383">
        <v>6000</v>
      </c>
      <c r="AG383" t="s">
        <v>809</v>
      </c>
      <c r="AH383" t="s">
        <v>65</v>
      </c>
      <c r="AI383" t="s">
        <v>65</v>
      </c>
      <c r="AJ383" t="s">
        <v>66</v>
      </c>
      <c r="AK383" t="s">
        <v>66</v>
      </c>
      <c r="AL383" t="s">
        <v>66</v>
      </c>
      <c r="AM383" s="2" t="str">
        <f>HYPERLINK("https://transparencia.cidesi.mx/comprobantes/2021/CQ2100725 /C5FA8706_OIC100305EM0.pdf")</f>
        <v>https://transparencia.cidesi.mx/comprobantes/2021/CQ2100725 /C5FA8706_OIC100305EM0.pdf</v>
      </c>
      <c r="AN383" t="str">
        <f>HYPERLINK("https://transparencia.cidesi.mx/comprobantes/2021/CQ2100725 /C5FA8706_OIC100305EM0.pdf")</f>
        <v>https://transparencia.cidesi.mx/comprobantes/2021/CQ2100725 /C5FA8706_OIC100305EM0.pdf</v>
      </c>
      <c r="AO383" t="str">
        <f>HYPERLINK("https://transparencia.cidesi.mx/comprobantes/2021/CQ2100725 /C5F8706_OIC100305EM0.xml")</f>
        <v>https://transparencia.cidesi.mx/comprobantes/2021/CQ2100725 /C5F8706_OIC100305EM0.xml</v>
      </c>
      <c r="AP383" t="s">
        <v>815</v>
      </c>
      <c r="AQ383" t="s">
        <v>816</v>
      </c>
      <c r="AR383" t="s">
        <v>817</v>
      </c>
      <c r="AS383" t="s">
        <v>818</v>
      </c>
      <c r="AT383" s="1">
        <v>44445</v>
      </c>
      <c r="AU383" s="1">
        <v>44447</v>
      </c>
    </row>
    <row r="384" spans="1:47" x14ac:dyDescent="0.3">
      <c r="A384" t="s">
        <v>246</v>
      </c>
      <c r="B384" t="s">
        <v>48</v>
      </c>
      <c r="C384" t="s">
        <v>338</v>
      </c>
      <c r="D384">
        <v>586</v>
      </c>
      <c r="E384" t="s">
        <v>798</v>
      </c>
      <c r="F384" t="s">
        <v>692</v>
      </c>
      <c r="G384" t="s">
        <v>799</v>
      </c>
      <c r="H384" t="s">
        <v>819</v>
      </c>
      <c r="I384" t="s">
        <v>54</v>
      </c>
      <c r="J384" t="s">
        <v>820</v>
      </c>
      <c r="K384" t="s">
        <v>56</v>
      </c>
      <c r="L384">
        <v>0</v>
      </c>
      <c r="M384" t="s">
        <v>73</v>
      </c>
      <c r="N384">
        <v>0</v>
      </c>
      <c r="O384" t="s">
        <v>58</v>
      </c>
      <c r="P384" t="s">
        <v>59</v>
      </c>
      <c r="Q384" t="s">
        <v>297</v>
      </c>
      <c r="R384" t="s">
        <v>820</v>
      </c>
      <c r="S384" s="1">
        <v>44435</v>
      </c>
      <c r="T384" s="1">
        <v>44437</v>
      </c>
      <c r="U384">
        <v>37501</v>
      </c>
      <c r="V384" t="s">
        <v>104</v>
      </c>
      <c r="W384" t="s">
        <v>821</v>
      </c>
      <c r="X384" s="1">
        <v>44441</v>
      </c>
      <c r="Y384" t="s">
        <v>100</v>
      </c>
      <c r="Z384">
        <v>942.45</v>
      </c>
      <c r="AA384">
        <v>16</v>
      </c>
      <c r="AB384">
        <v>146.4</v>
      </c>
      <c r="AC384">
        <v>0</v>
      </c>
      <c r="AD384">
        <v>1088.8499999999999</v>
      </c>
      <c r="AE384">
        <v>1484.85</v>
      </c>
      <c r="AF384">
        <v>2727</v>
      </c>
      <c r="AG384" t="s">
        <v>804</v>
      </c>
      <c r="AH384" t="s">
        <v>66</v>
      </c>
      <c r="AI384" t="s">
        <v>66</v>
      </c>
      <c r="AJ384" t="s">
        <v>66</v>
      </c>
      <c r="AK384" t="s">
        <v>66</v>
      </c>
      <c r="AL384" t="s">
        <v>66</v>
      </c>
      <c r="AM384" s="2" t="s">
        <v>73</v>
      </c>
      <c r="AN384" t="s">
        <v>73</v>
      </c>
      <c r="AO384" t="s">
        <v>73</v>
      </c>
      <c r="AP384" t="s">
        <v>822</v>
      </c>
      <c r="AQ384" t="s">
        <v>816</v>
      </c>
      <c r="AR384" t="s">
        <v>817</v>
      </c>
      <c r="AS384" t="s">
        <v>818</v>
      </c>
      <c r="AT384" s="1">
        <v>44445</v>
      </c>
      <c r="AU384" t="s">
        <v>73</v>
      </c>
    </row>
    <row r="385" spans="1:47" x14ac:dyDescent="0.3">
      <c r="A385" t="s">
        <v>246</v>
      </c>
      <c r="B385" t="s">
        <v>48</v>
      </c>
      <c r="C385" t="s">
        <v>338</v>
      </c>
      <c r="D385">
        <v>586</v>
      </c>
      <c r="E385" t="s">
        <v>798</v>
      </c>
      <c r="F385" t="s">
        <v>692</v>
      </c>
      <c r="G385" t="s">
        <v>799</v>
      </c>
      <c r="H385" t="s">
        <v>819</v>
      </c>
      <c r="I385" t="s">
        <v>54</v>
      </c>
      <c r="J385" t="s">
        <v>820</v>
      </c>
      <c r="K385" t="s">
        <v>56</v>
      </c>
      <c r="L385">
        <v>0</v>
      </c>
      <c r="M385" t="s">
        <v>73</v>
      </c>
      <c r="N385">
        <v>0</v>
      </c>
      <c r="O385" t="s">
        <v>58</v>
      </c>
      <c r="P385" t="s">
        <v>59</v>
      </c>
      <c r="Q385" t="s">
        <v>297</v>
      </c>
      <c r="R385" t="s">
        <v>820</v>
      </c>
      <c r="S385" s="1">
        <v>44435</v>
      </c>
      <c r="T385" s="1">
        <v>44437</v>
      </c>
      <c r="U385">
        <v>37501</v>
      </c>
      <c r="V385" t="s">
        <v>61</v>
      </c>
      <c r="W385" t="s">
        <v>821</v>
      </c>
      <c r="X385" s="1">
        <v>44441</v>
      </c>
      <c r="Y385" t="s">
        <v>100</v>
      </c>
      <c r="Z385">
        <v>341.38</v>
      </c>
      <c r="AA385">
        <v>16</v>
      </c>
      <c r="AB385">
        <v>54.62</v>
      </c>
      <c r="AC385">
        <v>0</v>
      </c>
      <c r="AD385">
        <v>396</v>
      </c>
      <c r="AE385">
        <v>1484.85</v>
      </c>
      <c r="AF385">
        <v>2727</v>
      </c>
      <c r="AG385" t="s">
        <v>809</v>
      </c>
      <c r="AH385" t="s">
        <v>65</v>
      </c>
      <c r="AI385" t="s">
        <v>65</v>
      </c>
      <c r="AJ385" t="s">
        <v>66</v>
      </c>
      <c r="AK385" t="s">
        <v>66</v>
      </c>
      <c r="AL385" t="s">
        <v>66</v>
      </c>
      <c r="AM385" s="2" t="str">
        <f>HYPERLINK("https://transparencia.cidesi.mx/comprobantes/2021/CQ2100727 /C2FJ6261_MALR711112M7.pdf")</f>
        <v>https://transparencia.cidesi.mx/comprobantes/2021/CQ2100727 /C2FJ6261_MALR711112M7.pdf</v>
      </c>
      <c r="AN385" t="str">
        <f>HYPERLINK("https://transparencia.cidesi.mx/comprobantes/2021/CQ2100727 /C2FJ6261_MALR711112M7.pdf")</f>
        <v>https://transparencia.cidesi.mx/comprobantes/2021/CQ2100727 /C2FJ6261_MALR711112M7.pdf</v>
      </c>
      <c r="AO385" t="str">
        <f>HYPERLINK("https://transparencia.cidesi.mx/comprobantes/2021/CQ2100727 /C2FJ6261_MALR711112M7.xml")</f>
        <v>https://transparencia.cidesi.mx/comprobantes/2021/CQ2100727 /C2FJ6261_MALR711112M7.xml</v>
      </c>
      <c r="AP385" t="s">
        <v>822</v>
      </c>
      <c r="AQ385" t="s">
        <v>816</v>
      </c>
      <c r="AR385" t="s">
        <v>817</v>
      </c>
      <c r="AS385" t="s">
        <v>818</v>
      </c>
      <c r="AT385" s="1">
        <v>44445</v>
      </c>
      <c r="AU385" t="s">
        <v>73</v>
      </c>
    </row>
    <row r="386" spans="1:47" x14ac:dyDescent="0.3">
      <c r="A386" t="s">
        <v>246</v>
      </c>
      <c r="B386" t="s">
        <v>48</v>
      </c>
      <c r="C386" t="s">
        <v>338</v>
      </c>
      <c r="D386">
        <v>586</v>
      </c>
      <c r="E386" t="s">
        <v>798</v>
      </c>
      <c r="F386" t="s">
        <v>692</v>
      </c>
      <c r="G386" t="s">
        <v>799</v>
      </c>
      <c r="H386" t="s">
        <v>823</v>
      </c>
      <c r="I386" t="s">
        <v>54</v>
      </c>
      <c r="J386" t="s">
        <v>824</v>
      </c>
      <c r="K386" t="s">
        <v>56</v>
      </c>
      <c r="L386">
        <v>0</v>
      </c>
      <c r="M386" t="s">
        <v>73</v>
      </c>
      <c r="N386">
        <v>0</v>
      </c>
      <c r="O386" t="s">
        <v>58</v>
      </c>
      <c r="P386" t="s">
        <v>59</v>
      </c>
      <c r="Q386" t="s">
        <v>60</v>
      </c>
      <c r="R386" t="s">
        <v>824</v>
      </c>
      <c r="S386" s="1">
        <v>44459</v>
      </c>
      <c r="T386" s="1">
        <v>44459</v>
      </c>
      <c r="U386">
        <v>37501</v>
      </c>
      <c r="V386" t="s">
        <v>61</v>
      </c>
      <c r="W386" t="s">
        <v>825</v>
      </c>
      <c r="X386" s="1">
        <v>44460</v>
      </c>
      <c r="Y386" t="s">
        <v>63</v>
      </c>
      <c r="Z386">
        <v>339.66</v>
      </c>
      <c r="AA386">
        <v>16</v>
      </c>
      <c r="AB386">
        <v>54.34</v>
      </c>
      <c r="AC386">
        <v>39</v>
      </c>
      <c r="AD386">
        <v>433</v>
      </c>
      <c r="AE386">
        <v>433</v>
      </c>
      <c r="AF386">
        <v>545</v>
      </c>
      <c r="AG386" t="s">
        <v>809</v>
      </c>
      <c r="AH386" t="s">
        <v>65</v>
      </c>
      <c r="AI386" t="s">
        <v>65</v>
      </c>
      <c r="AJ386" t="s">
        <v>66</v>
      </c>
      <c r="AK386" t="s">
        <v>66</v>
      </c>
      <c r="AL386" t="s">
        <v>66</v>
      </c>
      <c r="AM386" s="2" t="str">
        <f>HYPERLINK("https://transparencia.cidesi.mx/comprobantes/2021/CQ2100843 /C1FCOA-122597_IEA120222855.pdf")</f>
        <v>https://transparencia.cidesi.mx/comprobantes/2021/CQ2100843 /C1FCOA-122597_IEA120222855.pdf</v>
      </c>
      <c r="AN386" t="str">
        <f>HYPERLINK("https://transparencia.cidesi.mx/comprobantes/2021/CQ2100843 /C1FCOA-122597_IEA120222855.pdf")</f>
        <v>https://transparencia.cidesi.mx/comprobantes/2021/CQ2100843 /C1FCOA-122597_IEA120222855.pdf</v>
      </c>
      <c r="AO386" t="str">
        <f>HYPERLINK("https://transparencia.cidesi.mx/comprobantes/2021/CQ2100843 /C1FCOA-122597_IEA120222855.xml")</f>
        <v>https://transparencia.cidesi.mx/comprobantes/2021/CQ2100843 /C1FCOA-122597_IEA120222855.xml</v>
      </c>
      <c r="AP386" t="s">
        <v>824</v>
      </c>
      <c r="AQ386" t="s">
        <v>826</v>
      </c>
      <c r="AR386" t="s">
        <v>827</v>
      </c>
      <c r="AS386" t="s">
        <v>828</v>
      </c>
      <c r="AT386" s="1">
        <v>44460</v>
      </c>
      <c r="AU386" s="1">
        <v>44470</v>
      </c>
    </row>
    <row r="387" spans="1:47" x14ac:dyDescent="0.3">
      <c r="A387" t="s">
        <v>47</v>
      </c>
      <c r="B387" t="s">
        <v>182</v>
      </c>
      <c r="C387" t="s">
        <v>829</v>
      </c>
      <c r="D387">
        <v>596</v>
      </c>
      <c r="E387" t="s">
        <v>830</v>
      </c>
      <c r="F387" t="s">
        <v>248</v>
      </c>
      <c r="G387" t="s">
        <v>708</v>
      </c>
      <c r="H387" t="s">
        <v>831</v>
      </c>
      <c r="I387" t="s">
        <v>54</v>
      </c>
      <c r="J387" t="s">
        <v>832</v>
      </c>
      <c r="K387" t="s">
        <v>56</v>
      </c>
      <c r="L387">
        <v>0</v>
      </c>
      <c r="M387" t="s">
        <v>73</v>
      </c>
      <c r="N387">
        <v>0</v>
      </c>
      <c r="O387" t="s">
        <v>58</v>
      </c>
      <c r="P387" t="s">
        <v>59</v>
      </c>
      <c r="Q387" t="s">
        <v>378</v>
      </c>
      <c r="R387" t="s">
        <v>832</v>
      </c>
      <c r="S387" s="1">
        <v>44420</v>
      </c>
      <c r="T387" s="1">
        <v>44420</v>
      </c>
      <c r="U387">
        <v>37501</v>
      </c>
      <c r="V387" t="s">
        <v>61</v>
      </c>
      <c r="W387" t="s">
        <v>833</v>
      </c>
      <c r="X387" s="1">
        <v>44425</v>
      </c>
      <c r="Y387" t="s">
        <v>63</v>
      </c>
      <c r="Z387">
        <v>237.07</v>
      </c>
      <c r="AA387">
        <v>16</v>
      </c>
      <c r="AB387">
        <v>37.93</v>
      </c>
      <c r="AC387">
        <v>0</v>
      </c>
      <c r="AD387">
        <v>275</v>
      </c>
      <c r="AE387">
        <v>493.9</v>
      </c>
      <c r="AF387">
        <v>545</v>
      </c>
      <c r="AG387" t="s">
        <v>834</v>
      </c>
      <c r="AH387" t="s">
        <v>65</v>
      </c>
      <c r="AI387" t="s">
        <v>65</v>
      </c>
      <c r="AJ387" t="s">
        <v>66</v>
      </c>
      <c r="AK387" t="s">
        <v>66</v>
      </c>
      <c r="AL387" t="s">
        <v>66</v>
      </c>
      <c r="AM387" s="2" t="str">
        <f>HYPERLINK("https://transparencia.cidesi.mx/comprobantes/2021/CQ2100657 /C1FRE10280_STP9701291I3.pdf")</f>
        <v>https://transparencia.cidesi.mx/comprobantes/2021/CQ2100657 /C1FRE10280_STP9701291I3.pdf</v>
      </c>
      <c r="AN387" t="str">
        <f>HYPERLINK("https://transparencia.cidesi.mx/comprobantes/2021/CQ2100657 /C1FRE10280_STP9701291I3.pdf")</f>
        <v>https://transparencia.cidesi.mx/comprobantes/2021/CQ2100657 /C1FRE10280_STP9701291I3.pdf</v>
      </c>
      <c r="AO387" t="str">
        <f>HYPERLINK("https://transparencia.cidesi.mx/comprobantes/2021/CQ2100657 /C1FRE10280_STP9701291I3.xml")</f>
        <v>https://transparencia.cidesi.mx/comprobantes/2021/CQ2100657 /C1FRE10280_STP9701291I3.xml</v>
      </c>
      <c r="AP387" t="s">
        <v>835</v>
      </c>
      <c r="AQ387" t="e">
        <f>- Nos presentamos mi acompañante José LUis Lázaro y un servidor conel contacto de la empresa, Efren Galarza, quien Nos prorciono los detalles y requerimientos de la operación a analizar.</f>
        <v>#NAME?</v>
      </c>
      <c r="AR387" t="s">
        <v>836</v>
      </c>
      <c r="AS387" t="s">
        <v>837</v>
      </c>
      <c r="AT387" s="1">
        <v>44427</v>
      </c>
      <c r="AU387" s="1">
        <v>44432</v>
      </c>
    </row>
    <row r="388" spans="1:47" x14ac:dyDescent="0.3">
      <c r="A388" t="s">
        <v>47</v>
      </c>
      <c r="B388" t="s">
        <v>182</v>
      </c>
      <c r="C388" t="s">
        <v>829</v>
      </c>
      <c r="D388">
        <v>596</v>
      </c>
      <c r="E388" t="s">
        <v>830</v>
      </c>
      <c r="F388" t="s">
        <v>248</v>
      </c>
      <c r="G388" t="s">
        <v>708</v>
      </c>
      <c r="H388" t="s">
        <v>831</v>
      </c>
      <c r="I388" t="s">
        <v>54</v>
      </c>
      <c r="J388" t="s">
        <v>832</v>
      </c>
      <c r="K388" t="s">
        <v>56</v>
      </c>
      <c r="L388">
        <v>0</v>
      </c>
      <c r="M388" t="s">
        <v>73</v>
      </c>
      <c r="N388">
        <v>0</v>
      </c>
      <c r="O388" t="s">
        <v>58</v>
      </c>
      <c r="P388" t="s">
        <v>59</v>
      </c>
      <c r="Q388" t="s">
        <v>378</v>
      </c>
      <c r="R388" t="s">
        <v>832</v>
      </c>
      <c r="S388" s="1">
        <v>44420</v>
      </c>
      <c r="T388" s="1">
        <v>44420</v>
      </c>
      <c r="U388">
        <v>37501</v>
      </c>
      <c r="V388" t="s">
        <v>61</v>
      </c>
      <c r="W388" t="s">
        <v>833</v>
      </c>
      <c r="X388" s="1">
        <v>44425</v>
      </c>
      <c r="Y388" t="s">
        <v>63</v>
      </c>
      <c r="Z388">
        <v>171.55</v>
      </c>
      <c r="AA388">
        <v>16</v>
      </c>
      <c r="AB388">
        <v>27.45</v>
      </c>
      <c r="AC388">
        <v>19.899999999999999</v>
      </c>
      <c r="AD388">
        <v>218.9</v>
      </c>
      <c r="AE388">
        <v>493.9</v>
      </c>
      <c r="AF388">
        <v>545</v>
      </c>
      <c r="AG388" t="s">
        <v>834</v>
      </c>
      <c r="AH388" t="s">
        <v>65</v>
      </c>
      <c r="AI388" t="s">
        <v>65</v>
      </c>
      <c r="AJ388" t="s">
        <v>66</v>
      </c>
      <c r="AK388" t="s">
        <v>66</v>
      </c>
      <c r="AL388" t="s">
        <v>66</v>
      </c>
      <c r="AM388" s="2" t="str">
        <f>HYPERLINK("https://transparencia.cidesi.mx/comprobantes/2021/CQ2100657 /C2FFRP-176964_NPA090803AM4.pdf")</f>
        <v>https://transparencia.cidesi.mx/comprobantes/2021/CQ2100657 /C2FFRP-176964_NPA090803AM4.pdf</v>
      </c>
      <c r="AN388" t="str">
        <f>HYPERLINK("https://transparencia.cidesi.mx/comprobantes/2021/CQ2100657 /C2FFRP-176964_NPA090803AM4.pdf")</f>
        <v>https://transparencia.cidesi.mx/comprobantes/2021/CQ2100657 /C2FFRP-176964_NPA090803AM4.pdf</v>
      </c>
      <c r="AO388" t="str">
        <f>HYPERLINK("https://transparencia.cidesi.mx/comprobantes/2021/CQ2100657 /C2FFRP-176964_NPA090803AM4.xml")</f>
        <v>https://transparencia.cidesi.mx/comprobantes/2021/CQ2100657 /C2FFRP-176964_NPA090803AM4.xml</v>
      </c>
      <c r="AP388" t="s">
        <v>835</v>
      </c>
      <c r="AQ388" t="e">
        <f>- Nos presentamos mi acompañante José LUis Lázaro y un servidor conel contacto de la empresa, Efren Galarza, quien Nos prorciono los detalles y requerimientos de la operación a analizar.</f>
        <v>#NAME?</v>
      </c>
      <c r="AR388" t="s">
        <v>836</v>
      </c>
      <c r="AS388" t="s">
        <v>837</v>
      </c>
      <c r="AT388" s="1">
        <v>44427</v>
      </c>
      <c r="AU388" s="1">
        <v>44432</v>
      </c>
    </row>
    <row r="389" spans="1:47" x14ac:dyDescent="0.3">
      <c r="A389" t="s">
        <v>838</v>
      </c>
      <c r="B389" t="s">
        <v>48</v>
      </c>
      <c r="C389" t="s">
        <v>338</v>
      </c>
      <c r="D389">
        <v>599</v>
      </c>
      <c r="E389" t="s">
        <v>839</v>
      </c>
      <c r="F389" t="s">
        <v>840</v>
      </c>
      <c r="G389" t="s">
        <v>841</v>
      </c>
      <c r="H389" t="s">
        <v>842</v>
      </c>
      <c r="I389" t="s">
        <v>54</v>
      </c>
      <c r="J389" t="s">
        <v>843</v>
      </c>
      <c r="K389" t="s">
        <v>56</v>
      </c>
      <c r="L389">
        <v>0</v>
      </c>
      <c r="M389" t="s">
        <v>73</v>
      </c>
      <c r="N389">
        <v>0</v>
      </c>
      <c r="O389" t="s">
        <v>58</v>
      </c>
      <c r="P389" t="s">
        <v>59</v>
      </c>
      <c r="Q389" t="s">
        <v>378</v>
      </c>
      <c r="R389" t="s">
        <v>843</v>
      </c>
      <c r="S389" s="1">
        <v>44428</v>
      </c>
      <c r="T389" s="1">
        <v>44428</v>
      </c>
      <c r="U389">
        <v>37501</v>
      </c>
      <c r="V389" t="s">
        <v>61</v>
      </c>
      <c r="W389" t="s">
        <v>844</v>
      </c>
      <c r="X389" s="1">
        <v>44439</v>
      </c>
      <c r="Y389" t="s">
        <v>63</v>
      </c>
      <c r="Z389">
        <v>318.95999999999998</v>
      </c>
      <c r="AA389">
        <v>16</v>
      </c>
      <c r="AB389">
        <v>51.04</v>
      </c>
      <c r="AC389">
        <v>0</v>
      </c>
      <c r="AD389">
        <v>370</v>
      </c>
      <c r="AE389">
        <v>493</v>
      </c>
      <c r="AF389">
        <v>545</v>
      </c>
      <c r="AG389" t="s">
        <v>845</v>
      </c>
      <c r="AH389" t="s">
        <v>65</v>
      </c>
      <c r="AI389" t="s">
        <v>65</v>
      </c>
      <c r="AJ389" t="s">
        <v>66</v>
      </c>
      <c r="AK389" t="s">
        <v>66</v>
      </c>
      <c r="AL389" t="s">
        <v>66</v>
      </c>
      <c r="AM389" s="2" t="str">
        <f>HYPERLINK("https://transparencia.cidesi.mx/comprobantes/2021/CQ2100714 /C1f1.pdf")</f>
        <v>https://transparencia.cidesi.mx/comprobantes/2021/CQ2100714 /C1f1.pdf</v>
      </c>
      <c r="AN389" t="str">
        <f>HYPERLINK("https://transparencia.cidesi.mx/comprobantes/2021/CQ2100714 /C1f1.pdf")</f>
        <v>https://transparencia.cidesi.mx/comprobantes/2021/CQ2100714 /C1f1.pdf</v>
      </c>
      <c r="AO389" t="str">
        <f>HYPERLINK("https://transparencia.cidesi.mx/comprobantes/2021/CQ2100714 /C1f1.xml")</f>
        <v>https://transparencia.cidesi.mx/comprobantes/2021/CQ2100714 /C1f1.xml</v>
      </c>
      <c r="AP389" t="s">
        <v>846</v>
      </c>
      <c r="AQ389" t="s">
        <v>846</v>
      </c>
      <c r="AR389" t="s">
        <v>425</v>
      </c>
      <c r="AS389" t="s">
        <v>847</v>
      </c>
      <c r="AT389" s="1">
        <v>44439</v>
      </c>
      <c r="AU389" s="1">
        <v>44440</v>
      </c>
    </row>
    <row r="390" spans="1:47" x14ac:dyDescent="0.3">
      <c r="A390" t="s">
        <v>838</v>
      </c>
      <c r="B390" t="s">
        <v>48</v>
      </c>
      <c r="C390" t="s">
        <v>338</v>
      </c>
      <c r="D390">
        <v>599</v>
      </c>
      <c r="E390" t="s">
        <v>839</v>
      </c>
      <c r="F390" t="s">
        <v>840</v>
      </c>
      <c r="G390" t="s">
        <v>841</v>
      </c>
      <c r="H390" t="s">
        <v>842</v>
      </c>
      <c r="I390" t="s">
        <v>54</v>
      </c>
      <c r="J390" t="s">
        <v>843</v>
      </c>
      <c r="K390" t="s">
        <v>56</v>
      </c>
      <c r="L390">
        <v>0</v>
      </c>
      <c r="M390" t="s">
        <v>73</v>
      </c>
      <c r="N390">
        <v>0</v>
      </c>
      <c r="O390" t="s">
        <v>58</v>
      </c>
      <c r="P390" t="s">
        <v>59</v>
      </c>
      <c r="Q390" t="s">
        <v>378</v>
      </c>
      <c r="R390" t="s">
        <v>843</v>
      </c>
      <c r="S390" s="1">
        <v>44428</v>
      </c>
      <c r="T390" s="1">
        <v>44428</v>
      </c>
      <c r="U390">
        <v>37501</v>
      </c>
      <c r="V390" t="s">
        <v>61</v>
      </c>
      <c r="W390" t="s">
        <v>844</v>
      </c>
      <c r="X390" s="1">
        <v>44439</v>
      </c>
      <c r="Y390" t="s">
        <v>63</v>
      </c>
      <c r="Z390">
        <v>106.03</v>
      </c>
      <c r="AA390">
        <v>16</v>
      </c>
      <c r="AB390">
        <v>16.97</v>
      </c>
      <c r="AC390">
        <v>0</v>
      </c>
      <c r="AD390">
        <v>123</v>
      </c>
      <c r="AE390">
        <v>493</v>
      </c>
      <c r="AF390">
        <v>545</v>
      </c>
      <c r="AG390" t="s">
        <v>845</v>
      </c>
      <c r="AH390" t="s">
        <v>65</v>
      </c>
      <c r="AI390" t="s">
        <v>65</v>
      </c>
      <c r="AJ390" t="s">
        <v>66</v>
      </c>
      <c r="AK390" t="s">
        <v>66</v>
      </c>
      <c r="AL390" t="s">
        <v>66</v>
      </c>
      <c r="AM390" s="2" t="str">
        <f>HYPERLINK("https://transparencia.cidesi.mx/comprobantes/2021/CQ2100714 /C2f2.pdf")</f>
        <v>https://transparencia.cidesi.mx/comprobantes/2021/CQ2100714 /C2f2.pdf</v>
      </c>
      <c r="AN390" t="str">
        <f>HYPERLINK("https://transparencia.cidesi.mx/comprobantes/2021/CQ2100714 /C2f2.pdf")</f>
        <v>https://transparencia.cidesi.mx/comprobantes/2021/CQ2100714 /C2f2.pdf</v>
      </c>
      <c r="AO390" t="str">
        <f>HYPERLINK("https://transparencia.cidesi.mx/comprobantes/2021/CQ2100714 /C2f2.xml")</f>
        <v>https://transparencia.cidesi.mx/comprobantes/2021/CQ2100714 /C2f2.xml</v>
      </c>
      <c r="AP390" t="s">
        <v>846</v>
      </c>
      <c r="AQ390" t="s">
        <v>846</v>
      </c>
      <c r="AR390" t="s">
        <v>425</v>
      </c>
      <c r="AS390" t="s">
        <v>847</v>
      </c>
      <c r="AT390" s="1">
        <v>44439</v>
      </c>
      <c r="AU390" s="1">
        <v>44440</v>
      </c>
    </row>
    <row r="391" spans="1:47" x14ac:dyDescent="0.3">
      <c r="A391" t="s">
        <v>848</v>
      </c>
      <c r="B391" t="s">
        <v>48</v>
      </c>
      <c r="C391" t="s">
        <v>849</v>
      </c>
      <c r="D391">
        <v>604</v>
      </c>
      <c r="E391" t="s">
        <v>850</v>
      </c>
      <c r="F391" t="s">
        <v>723</v>
      </c>
      <c r="G391" t="s">
        <v>351</v>
      </c>
      <c r="H391" t="s">
        <v>851</v>
      </c>
      <c r="I391" t="s">
        <v>54</v>
      </c>
      <c r="J391" t="s">
        <v>852</v>
      </c>
      <c r="K391" t="s">
        <v>56</v>
      </c>
      <c r="L391">
        <v>0</v>
      </c>
      <c r="M391" t="s">
        <v>73</v>
      </c>
      <c r="N391">
        <v>0</v>
      </c>
      <c r="O391" t="s">
        <v>58</v>
      </c>
      <c r="P391" t="s">
        <v>59</v>
      </c>
      <c r="Q391" t="s">
        <v>330</v>
      </c>
      <c r="R391" t="s">
        <v>852</v>
      </c>
      <c r="S391" s="1">
        <v>44391</v>
      </c>
      <c r="T391" s="1">
        <v>44394</v>
      </c>
      <c r="U391">
        <v>37501</v>
      </c>
      <c r="V391" t="s">
        <v>61</v>
      </c>
      <c r="W391" t="s">
        <v>853</v>
      </c>
      <c r="X391" s="1">
        <v>44432</v>
      </c>
      <c r="Y391" t="s">
        <v>63</v>
      </c>
      <c r="Z391">
        <v>774.9</v>
      </c>
      <c r="AA391">
        <v>16</v>
      </c>
      <c r="AB391">
        <v>147.6</v>
      </c>
      <c r="AC391">
        <v>0</v>
      </c>
      <c r="AD391">
        <v>922.5</v>
      </c>
      <c r="AE391">
        <v>5149.63</v>
      </c>
      <c r="AF391">
        <v>5484</v>
      </c>
      <c r="AG391" t="s">
        <v>854</v>
      </c>
      <c r="AH391" t="s">
        <v>65</v>
      </c>
      <c r="AI391" t="s">
        <v>65</v>
      </c>
      <c r="AJ391" t="s">
        <v>66</v>
      </c>
      <c r="AK391" t="s">
        <v>66</v>
      </c>
      <c r="AL391" t="s">
        <v>66</v>
      </c>
      <c r="AM391" s="2" t="str">
        <f>HYPERLINK("https://transparencia.cidesi.mx/comprobantes/2021/CQ2100685 /C2CID840309UG7-108252-LFAPO.pdf")</f>
        <v>https://transparencia.cidesi.mx/comprobantes/2021/CQ2100685 /C2CID840309UG7-108252-LFAPO.pdf</v>
      </c>
      <c r="AN391" t="str">
        <f>HYPERLINK("https://transparencia.cidesi.mx/comprobantes/2021/CQ2100685 /C2CID840309UG7-108252-LFAPO.pdf")</f>
        <v>https://transparencia.cidesi.mx/comprobantes/2021/CQ2100685 /C2CID840309UG7-108252-LFAPO.pdf</v>
      </c>
      <c r="AO391" t="str">
        <f>HYPERLINK("https://transparencia.cidesi.mx/comprobantes/2021/CQ2100685 /C2CID840309UG7-108252-LFAPO.xml")</f>
        <v>https://transparencia.cidesi.mx/comprobantes/2021/CQ2100685 /C2CID840309UG7-108252-LFAPO.xml</v>
      </c>
      <c r="AP391" t="s">
        <v>855</v>
      </c>
      <c r="AQ391" t="s">
        <v>856</v>
      </c>
      <c r="AR391" t="s">
        <v>857</v>
      </c>
      <c r="AS391" t="s">
        <v>858</v>
      </c>
      <c r="AT391" s="1">
        <v>44435</v>
      </c>
      <c r="AU391" s="1">
        <v>44438</v>
      </c>
    </row>
    <row r="392" spans="1:47" x14ac:dyDescent="0.3">
      <c r="A392" t="s">
        <v>848</v>
      </c>
      <c r="B392" t="s">
        <v>48</v>
      </c>
      <c r="C392" t="s">
        <v>849</v>
      </c>
      <c r="D392">
        <v>604</v>
      </c>
      <c r="E392" t="s">
        <v>850</v>
      </c>
      <c r="F392" t="s">
        <v>723</v>
      </c>
      <c r="G392" t="s">
        <v>351</v>
      </c>
      <c r="H392" t="s">
        <v>851</v>
      </c>
      <c r="I392" t="s">
        <v>54</v>
      </c>
      <c r="J392" t="s">
        <v>852</v>
      </c>
      <c r="K392" t="s">
        <v>56</v>
      </c>
      <c r="L392">
        <v>0</v>
      </c>
      <c r="M392" t="s">
        <v>73</v>
      </c>
      <c r="N392">
        <v>0</v>
      </c>
      <c r="O392" t="s">
        <v>58</v>
      </c>
      <c r="P392" t="s">
        <v>59</v>
      </c>
      <c r="Q392" t="s">
        <v>330</v>
      </c>
      <c r="R392" t="s">
        <v>852</v>
      </c>
      <c r="S392" s="1">
        <v>44391</v>
      </c>
      <c r="T392" s="1">
        <v>44394</v>
      </c>
      <c r="U392">
        <v>37501</v>
      </c>
      <c r="V392" t="s">
        <v>61</v>
      </c>
      <c r="W392" t="s">
        <v>853</v>
      </c>
      <c r="X392" s="1">
        <v>44432</v>
      </c>
      <c r="Y392" t="s">
        <v>63</v>
      </c>
      <c r="Z392">
        <v>132.31</v>
      </c>
      <c r="AA392">
        <v>16</v>
      </c>
      <c r="AB392">
        <v>16.690000000000001</v>
      </c>
      <c r="AC392">
        <v>0</v>
      </c>
      <c r="AD392">
        <v>149</v>
      </c>
      <c r="AE392">
        <v>5149.63</v>
      </c>
      <c r="AF392">
        <v>5484</v>
      </c>
      <c r="AG392" t="s">
        <v>854</v>
      </c>
      <c r="AH392" t="s">
        <v>65</v>
      </c>
      <c r="AI392" t="s">
        <v>65</v>
      </c>
      <c r="AJ392" t="s">
        <v>66</v>
      </c>
      <c r="AK392" t="s">
        <v>66</v>
      </c>
      <c r="AL392" t="s">
        <v>66</v>
      </c>
      <c r="AM392" s="2" t="str">
        <f>HYPERLINK("https://transparencia.cidesi.mx/comprobantes/2021/CQ2100685 /C3F68477_D89782BE-7E0F-418B-B1EB-FBF42913831C.pdf")</f>
        <v>https://transparencia.cidesi.mx/comprobantes/2021/CQ2100685 /C3F68477_D89782BE-7E0F-418B-B1EB-FBF42913831C.pdf</v>
      </c>
      <c r="AN392" t="str">
        <f>HYPERLINK("https://transparencia.cidesi.mx/comprobantes/2021/CQ2100685 /C3F68477_D89782BE-7E0F-418B-B1EB-FBF42913831C.pdf")</f>
        <v>https://transparencia.cidesi.mx/comprobantes/2021/CQ2100685 /C3F68477_D89782BE-7E0F-418B-B1EB-FBF42913831C.pdf</v>
      </c>
      <c r="AO392" t="str">
        <f>HYPERLINK("https://transparencia.cidesi.mx/comprobantes/2021/CQ2100685 /C3F68477_D89782BE-7E0F-418B-B1EB-FBF42913831C.xml")</f>
        <v>https://transparencia.cidesi.mx/comprobantes/2021/CQ2100685 /C3F68477_D89782BE-7E0F-418B-B1EB-FBF42913831C.xml</v>
      </c>
      <c r="AP392" t="s">
        <v>855</v>
      </c>
      <c r="AQ392" t="s">
        <v>856</v>
      </c>
      <c r="AR392" t="s">
        <v>857</v>
      </c>
      <c r="AS392" t="s">
        <v>858</v>
      </c>
      <c r="AT392" s="1">
        <v>44435</v>
      </c>
      <c r="AU392" s="1">
        <v>44438</v>
      </c>
    </row>
    <row r="393" spans="1:47" x14ac:dyDescent="0.3">
      <c r="A393" t="s">
        <v>848</v>
      </c>
      <c r="B393" t="s">
        <v>48</v>
      </c>
      <c r="C393" t="s">
        <v>849</v>
      </c>
      <c r="D393">
        <v>604</v>
      </c>
      <c r="E393" t="s">
        <v>850</v>
      </c>
      <c r="F393" t="s">
        <v>723</v>
      </c>
      <c r="G393" t="s">
        <v>351</v>
      </c>
      <c r="H393" t="s">
        <v>851</v>
      </c>
      <c r="I393" t="s">
        <v>54</v>
      </c>
      <c r="J393" t="s">
        <v>852</v>
      </c>
      <c r="K393" t="s">
        <v>56</v>
      </c>
      <c r="L393">
        <v>0</v>
      </c>
      <c r="M393" t="s">
        <v>73</v>
      </c>
      <c r="N393">
        <v>0</v>
      </c>
      <c r="O393" t="s">
        <v>58</v>
      </c>
      <c r="P393" t="s">
        <v>59</v>
      </c>
      <c r="Q393" t="s">
        <v>330</v>
      </c>
      <c r="R393" t="s">
        <v>852</v>
      </c>
      <c r="S393" s="1">
        <v>44391</v>
      </c>
      <c r="T393" s="1">
        <v>44394</v>
      </c>
      <c r="U393">
        <v>37501</v>
      </c>
      <c r="V393" t="s">
        <v>61</v>
      </c>
      <c r="W393" t="s">
        <v>853</v>
      </c>
      <c r="X393" s="1">
        <v>44432</v>
      </c>
      <c r="Y393" t="s">
        <v>63</v>
      </c>
      <c r="Z393">
        <v>201.72</v>
      </c>
      <c r="AA393">
        <v>16</v>
      </c>
      <c r="AB393">
        <v>32.28</v>
      </c>
      <c r="AC393">
        <v>0</v>
      </c>
      <c r="AD393">
        <v>234</v>
      </c>
      <c r="AE393">
        <v>5149.63</v>
      </c>
      <c r="AF393">
        <v>5484</v>
      </c>
      <c r="AG393" t="s">
        <v>854</v>
      </c>
      <c r="AH393" t="s">
        <v>65</v>
      </c>
      <c r="AI393" t="s">
        <v>65</v>
      </c>
      <c r="AJ393" t="s">
        <v>66</v>
      </c>
      <c r="AK393" t="s">
        <v>66</v>
      </c>
      <c r="AL393" t="s">
        <v>66</v>
      </c>
      <c r="AM393" s="2" t="str">
        <f>HYPERLINK("https://transparencia.cidesi.mx/comprobantes/2021/CQ2100685 /C4FacturaFRP-175092.pdf")</f>
        <v>https://transparencia.cidesi.mx/comprobantes/2021/CQ2100685 /C4FacturaFRP-175092.pdf</v>
      </c>
      <c r="AN393" t="str">
        <f>HYPERLINK("https://transparencia.cidesi.mx/comprobantes/2021/CQ2100685 /C4FacturaFRP-175092.pdf")</f>
        <v>https://transparencia.cidesi.mx/comprobantes/2021/CQ2100685 /C4FacturaFRP-175092.pdf</v>
      </c>
      <c r="AO393" t="str">
        <f>HYPERLINK("https://transparencia.cidesi.mx/comprobantes/2021/CQ2100685 /C4FacturaFRP-175092.xml")</f>
        <v>https://transparencia.cidesi.mx/comprobantes/2021/CQ2100685 /C4FacturaFRP-175092.xml</v>
      </c>
      <c r="AP393" t="s">
        <v>855</v>
      </c>
      <c r="AQ393" t="s">
        <v>856</v>
      </c>
      <c r="AR393" t="s">
        <v>857</v>
      </c>
      <c r="AS393" t="s">
        <v>858</v>
      </c>
      <c r="AT393" s="1">
        <v>44435</v>
      </c>
      <c r="AU393" s="1">
        <v>44438</v>
      </c>
    </row>
    <row r="394" spans="1:47" x14ac:dyDescent="0.3">
      <c r="A394" t="s">
        <v>848</v>
      </c>
      <c r="B394" t="s">
        <v>48</v>
      </c>
      <c r="C394" t="s">
        <v>849</v>
      </c>
      <c r="D394">
        <v>604</v>
      </c>
      <c r="E394" t="s">
        <v>850</v>
      </c>
      <c r="F394" t="s">
        <v>723</v>
      </c>
      <c r="G394" t="s">
        <v>351</v>
      </c>
      <c r="H394" t="s">
        <v>851</v>
      </c>
      <c r="I394" t="s">
        <v>54</v>
      </c>
      <c r="J394" t="s">
        <v>852</v>
      </c>
      <c r="K394" t="s">
        <v>56</v>
      </c>
      <c r="L394">
        <v>0</v>
      </c>
      <c r="M394" t="s">
        <v>73</v>
      </c>
      <c r="N394">
        <v>0</v>
      </c>
      <c r="O394" t="s">
        <v>58</v>
      </c>
      <c r="P394" t="s">
        <v>59</v>
      </c>
      <c r="Q394" t="s">
        <v>330</v>
      </c>
      <c r="R394" t="s">
        <v>852</v>
      </c>
      <c r="S394" s="1">
        <v>44391</v>
      </c>
      <c r="T394" s="1">
        <v>44394</v>
      </c>
      <c r="U394">
        <v>37501</v>
      </c>
      <c r="V394" t="s">
        <v>61</v>
      </c>
      <c r="W394" t="s">
        <v>853</v>
      </c>
      <c r="X394" s="1">
        <v>44432</v>
      </c>
      <c r="Y394" t="s">
        <v>63</v>
      </c>
      <c r="Z394">
        <v>125</v>
      </c>
      <c r="AA394">
        <v>16</v>
      </c>
      <c r="AB394">
        <v>20</v>
      </c>
      <c r="AC394">
        <v>0</v>
      </c>
      <c r="AD394">
        <v>145</v>
      </c>
      <c r="AE394">
        <v>5149.63</v>
      </c>
      <c r="AF394">
        <v>5484</v>
      </c>
      <c r="AG394" t="s">
        <v>854</v>
      </c>
      <c r="AH394" t="s">
        <v>65</v>
      </c>
      <c r="AI394" t="s">
        <v>65</v>
      </c>
      <c r="AJ394" t="s">
        <v>66</v>
      </c>
      <c r="AK394" t="s">
        <v>66</v>
      </c>
      <c r="AL394" t="s">
        <v>66</v>
      </c>
      <c r="AM394" s="2" t="str">
        <f>HYPERLINK("https://transparencia.cidesi.mx/comprobantes/2021/CQ2100685 /C5FacturaFRP-175378 (1).pdf")</f>
        <v>https://transparencia.cidesi.mx/comprobantes/2021/CQ2100685 /C5FacturaFRP-175378 (1).pdf</v>
      </c>
      <c r="AN394" t="str">
        <f>HYPERLINK("https://transparencia.cidesi.mx/comprobantes/2021/CQ2100685 /C5FacturaFRP-175378 (1).pdf")</f>
        <v>https://transparencia.cidesi.mx/comprobantes/2021/CQ2100685 /C5FacturaFRP-175378 (1).pdf</v>
      </c>
      <c r="AO394" t="str">
        <f>HYPERLINK("https://transparencia.cidesi.mx/comprobantes/2021/CQ2100685 /C5FacturaFRP-175378.xml")</f>
        <v>https://transparencia.cidesi.mx/comprobantes/2021/CQ2100685 /C5FacturaFRP-175378.xml</v>
      </c>
      <c r="AP394" t="s">
        <v>855</v>
      </c>
      <c r="AQ394" t="s">
        <v>856</v>
      </c>
      <c r="AR394" t="s">
        <v>857</v>
      </c>
      <c r="AS394" t="s">
        <v>858</v>
      </c>
      <c r="AT394" s="1">
        <v>44435</v>
      </c>
      <c r="AU394" s="1">
        <v>44438</v>
      </c>
    </row>
    <row r="395" spans="1:47" x14ac:dyDescent="0.3">
      <c r="A395" t="s">
        <v>848</v>
      </c>
      <c r="B395" t="s">
        <v>48</v>
      </c>
      <c r="C395" t="s">
        <v>849</v>
      </c>
      <c r="D395">
        <v>604</v>
      </c>
      <c r="E395" t="s">
        <v>850</v>
      </c>
      <c r="F395" t="s">
        <v>723</v>
      </c>
      <c r="G395" t="s">
        <v>351</v>
      </c>
      <c r="H395" t="s">
        <v>851</v>
      </c>
      <c r="I395" t="s">
        <v>54</v>
      </c>
      <c r="J395" t="s">
        <v>852</v>
      </c>
      <c r="K395" t="s">
        <v>56</v>
      </c>
      <c r="L395">
        <v>0</v>
      </c>
      <c r="M395" t="s">
        <v>73</v>
      </c>
      <c r="N395">
        <v>0</v>
      </c>
      <c r="O395" t="s">
        <v>58</v>
      </c>
      <c r="P395" t="s">
        <v>59</v>
      </c>
      <c r="Q395" t="s">
        <v>330</v>
      </c>
      <c r="R395" t="s">
        <v>852</v>
      </c>
      <c r="S395" s="1">
        <v>44391</v>
      </c>
      <c r="T395" s="1">
        <v>44394</v>
      </c>
      <c r="U395">
        <v>37501</v>
      </c>
      <c r="V395" t="s">
        <v>61</v>
      </c>
      <c r="W395" t="s">
        <v>853</v>
      </c>
      <c r="X395" s="1">
        <v>44432</v>
      </c>
      <c r="Y395" t="s">
        <v>63</v>
      </c>
      <c r="Z395">
        <v>90.51</v>
      </c>
      <c r="AA395">
        <v>16</v>
      </c>
      <c r="AB395">
        <v>14.48</v>
      </c>
      <c r="AC395">
        <v>0</v>
      </c>
      <c r="AD395">
        <v>104.99</v>
      </c>
      <c r="AE395">
        <v>5149.63</v>
      </c>
      <c r="AF395">
        <v>5484</v>
      </c>
      <c r="AG395" t="s">
        <v>854</v>
      </c>
      <c r="AH395" t="s">
        <v>65</v>
      </c>
      <c r="AI395" t="s">
        <v>65</v>
      </c>
      <c r="AJ395" t="s">
        <v>66</v>
      </c>
      <c r="AK395" t="s">
        <v>66</v>
      </c>
      <c r="AL395" t="s">
        <v>66</v>
      </c>
      <c r="AM395" s="2" t="str">
        <f>HYPERLINK("https://transparencia.cidesi.mx/comprobantes/2021/CQ2100685 /C6LF3696_671C977D-0862-40F7-9724-230898DB0057.pdf")</f>
        <v>https://transparencia.cidesi.mx/comprobantes/2021/CQ2100685 /C6LF3696_671C977D-0862-40F7-9724-230898DB0057.pdf</v>
      </c>
      <c r="AN395" t="str">
        <f>HYPERLINK("https://transparencia.cidesi.mx/comprobantes/2021/CQ2100685 /C6LF3696_671C977D-0862-40F7-9724-230898DB0057.pdf")</f>
        <v>https://transparencia.cidesi.mx/comprobantes/2021/CQ2100685 /C6LF3696_671C977D-0862-40F7-9724-230898DB0057.pdf</v>
      </c>
      <c r="AO395" t="str">
        <f>HYPERLINK("https://transparencia.cidesi.mx/comprobantes/2021/CQ2100685 /C6LF3696_671C977D-0862-40F7-9724-230898DB0057.xml")</f>
        <v>https://transparencia.cidesi.mx/comprobantes/2021/CQ2100685 /C6LF3696_671C977D-0862-40F7-9724-230898DB0057.xml</v>
      </c>
      <c r="AP395" t="s">
        <v>855</v>
      </c>
      <c r="AQ395" t="s">
        <v>856</v>
      </c>
      <c r="AR395" t="s">
        <v>857</v>
      </c>
      <c r="AS395" t="s">
        <v>858</v>
      </c>
      <c r="AT395" s="1">
        <v>44435</v>
      </c>
      <c r="AU395" s="1">
        <v>44438</v>
      </c>
    </row>
    <row r="396" spans="1:47" x14ac:dyDescent="0.3">
      <c r="A396" t="s">
        <v>848</v>
      </c>
      <c r="B396" t="s">
        <v>48</v>
      </c>
      <c r="C396" t="s">
        <v>849</v>
      </c>
      <c r="D396">
        <v>604</v>
      </c>
      <c r="E396" t="s">
        <v>850</v>
      </c>
      <c r="F396" t="s">
        <v>723</v>
      </c>
      <c r="G396" t="s">
        <v>351</v>
      </c>
      <c r="H396" t="s">
        <v>851</v>
      </c>
      <c r="I396" t="s">
        <v>54</v>
      </c>
      <c r="J396" t="s">
        <v>852</v>
      </c>
      <c r="K396" t="s">
        <v>56</v>
      </c>
      <c r="L396">
        <v>0</v>
      </c>
      <c r="M396" t="s">
        <v>73</v>
      </c>
      <c r="N396">
        <v>0</v>
      </c>
      <c r="O396" t="s">
        <v>58</v>
      </c>
      <c r="P396" t="s">
        <v>59</v>
      </c>
      <c r="Q396" t="s">
        <v>330</v>
      </c>
      <c r="R396" t="s">
        <v>852</v>
      </c>
      <c r="S396" s="1">
        <v>44391</v>
      </c>
      <c r="T396" s="1">
        <v>44394</v>
      </c>
      <c r="U396">
        <v>37501</v>
      </c>
      <c r="V396" t="s">
        <v>61</v>
      </c>
      <c r="W396" t="s">
        <v>853</v>
      </c>
      <c r="X396" s="1">
        <v>44432</v>
      </c>
      <c r="Y396" t="s">
        <v>63</v>
      </c>
      <c r="Z396">
        <v>175</v>
      </c>
      <c r="AA396">
        <v>16</v>
      </c>
      <c r="AB396">
        <v>28</v>
      </c>
      <c r="AC396">
        <v>0</v>
      </c>
      <c r="AD396">
        <v>203</v>
      </c>
      <c r="AE396">
        <v>5149.63</v>
      </c>
      <c r="AF396">
        <v>5484</v>
      </c>
      <c r="AG396" t="s">
        <v>854</v>
      </c>
      <c r="AH396" t="s">
        <v>65</v>
      </c>
      <c r="AI396" t="s">
        <v>65</v>
      </c>
      <c r="AJ396" t="s">
        <v>66</v>
      </c>
      <c r="AK396" t="s">
        <v>66</v>
      </c>
      <c r="AL396" t="s">
        <v>66</v>
      </c>
      <c r="AM396" s="2" t="str">
        <f>HYPERLINK("https://transparencia.cidesi.mx/comprobantes/2021/CQ2100685 /C7BFG_367.pdf")</f>
        <v>https://transparencia.cidesi.mx/comprobantes/2021/CQ2100685 /C7BFG_367.pdf</v>
      </c>
      <c r="AN396" t="str">
        <f>HYPERLINK("https://transparencia.cidesi.mx/comprobantes/2021/CQ2100685 /C7BFG_367.pdf")</f>
        <v>https://transparencia.cidesi.mx/comprobantes/2021/CQ2100685 /C7BFG_367.pdf</v>
      </c>
      <c r="AO396" t="str">
        <f>HYPERLINK("https://transparencia.cidesi.mx/comprobantes/2021/CQ2100685 /C7BFG_367.xml")</f>
        <v>https://transparencia.cidesi.mx/comprobantes/2021/CQ2100685 /C7BFG_367.xml</v>
      </c>
      <c r="AP396" t="s">
        <v>855</v>
      </c>
      <c r="AQ396" t="s">
        <v>856</v>
      </c>
      <c r="AR396" t="s">
        <v>857</v>
      </c>
      <c r="AS396" t="s">
        <v>858</v>
      </c>
      <c r="AT396" s="1">
        <v>44435</v>
      </c>
      <c r="AU396" s="1">
        <v>44438</v>
      </c>
    </row>
    <row r="397" spans="1:47" x14ac:dyDescent="0.3">
      <c r="A397" t="s">
        <v>848</v>
      </c>
      <c r="B397" t="s">
        <v>48</v>
      </c>
      <c r="C397" t="s">
        <v>849</v>
      </c>
      <c r="D397">
        <v>604</v>
      </c>
      <c r="E397" t="s">
        <v>850</v>
      </c>
      <c r="F397" t="s">
        <v>723</v>
      </c>
      <c r="G397" t="s">
        <v>351</v>
      </c>
      <c r="H397" t="s">
        <v>851</v>
      </c>
      <c r="I397" t="s">
        <v>54</v>
      </c>
      <c r="J397" t="s">
        <v>852</v>
      </c>
      <c r="K397" t="s">
        <v>56</v>
      </c>
      <c r="L397">
        <v>0</v>
      </c>
      <c r="M397" t="s">
        <v>73</v>
      </c>
      <c r="N397">
        <v>0</v>
      </c>
      <c r="O397" t="s">
        <v>58</v>
      </c>
      <c r="P397" t="s">
        <v>59</v>
      </c>
      <c r="Q397" t="s">
        <v>330</v>
      </c>
      <c r="R397" t="s">
        <v>852</v>
      </c>
      <c r="S397" s="1">
        <v>44391</v>
      </c>
      <c r="T397" s="1">
        <v>44394</v>
      </c>
      <c r="U397">
        <v>37501</v>
      </c>
      <c r="V397" t="s">
        <v>104</v>
      </c>
      <c r="W397" t="s">
        <v>853</v>
      </c>
      <c r="X397" s="1">
        <v>44432</v>
      </c>
      <c r="Y397" t="s">
        <v>63</v>
      </c>
      <c r="Z397">
        <v>2935.19</v>
      </c>
      <c r="AA397">
        <v>16</v>
      </c>
      <c r="AB397">
        <v>455.95</v>
      </c>
      <c r="AC397">
        <v>0</v>
      </c>
      <c r="AD397">
        <v>3391.14</v>
      </c>
      <c r="AE397">
        <v>5149.63</v>
      </c>
      <c r="AF397">
        <v>5484</v>
      </c>
      <c r="AG397" t="s">
        <v>859</v>
      </c>
      <c r="AH397" t="s">
        <v>65</v>
      </c>
      <c r="AI397" t="s">
        <v>65</v>
      </c>
      <c r="AJ397" t="s">
        <v>66</v>
      </c>
      <c r="AK397" t="s">
        <v>66</v>
      </c>
      <c r="AL397" t="s">
        <v>66</v>
      </c>
      <c r="AM397" s="2" t="str">
        <f>HYPERLINK("https://transparencia.cidesi.mx/comprobantes/2021/CQ2100685 /C8CID840309UG7_43649_B_D0D7B48E-84DB-45EF-A209-5999D71AEB6C.pdf")</f>
        <v>https://transparencia.cidesi.mx/comprobantes/2021/CQ2100685 /C8CID840309UG7_43649_B_D0D7B48E-84DB-45EF-A209-5999D71AEB6C.pdf</v>
      </c>
      <c r="AN397" t="str">
        <f>HYPERLINK("https://transparencia.cidesi.mx/comprobantes/2021/CQ2100685 /C8CID840309UG7_43649_B_D0D7B48E-84DB-45EF-A209-5999D71AEB6C.pdf")</f>
        <v>https://transparencia.cidesi.mx/comprobantes/2021/CQ2100685 /C8CID840309UG7_43649_B_D0D7B48E-84DB-45EF-A209-5999D71AEB6C.pdf</v>
      </c>
      <c r="AO397" t="str">
        <f>HYPERLINK("https://transparencia.cidesi.mx/comprobantes/2021/CQ2100685 /C8CID840309UG7_43649_B_D0D7B48E-84DB-45EF-A209-5999D71AEB6C.xml")</f>
        <v>https://transparencia.cidesi.mx/comprobantes/2021/CQ2100685 /C8CID840309UG7_43649_B_D0D7B48E-84DB-45EF-A209-5999D71AEB6C.xml</v>
      </c>
      <c r="AP397" t="s">
        <v>855</v>
      </c>
      <c r="AQ397" t="s">
        <v>856</v>
      </c>
      <c r="AR397" t="s">
        <v>857</v>
      </c>
      <c r="AS397" t="s">
        <v>858</v>
      </c>
      <c r="AT397" s="1">
        <v>44435</v>
      </c>
      <c r="AU397" s="1">
        <v>44438</v>
      </c>
    </row>
    <row r="398" spans="1:47" x14ac:dyDescent="0.3">
      <c r="A398" t="s">
        <v>848</v>
      </c>
      <c r="B398" t="s">
        <v>48</v>
      </c>
      <c r="C398" t="s">
        <v>849</v>
      </c>
      <c r="D398">
        <v>604</v>
      </c>
      <c r="E398" t="s">
        <v>850</v>
      </c>
      <c r="F398" t="s">
        <v>723</v>
      </c>
      <c r="G398" t="s">
        <v>351</v>
      </c>
      <c r="H398" t="s">
        <v>860</v>
      </c>
      <c r="I398" t="s">
        <v>54</v>
      </c>
      <c r="J398" t="s">
        <v>861</v>
      </c>
      <c r="K398" t="s">
        <v>56</v>
      </c>
      <c r="L398">
        <v>0</v>
      </c>
      <c r="M398" t="s">
        <v>73</v>
      </c>
      <c r="N398">
        <v>0</v>
      </c>
      <c r="O398" t="s">
        <v>58</v>
      </c>
      <c r="P398" t="s">
        <v>59</v>
      </c>
      <c r="Q398" t="s">
        <v>108</v>
      </c>
      <c r="R398" t="s">
        <v>861</v>
      </c>
      <c r="S398" s="1">
        <v>44406</v>
      </c>
      <c r="T398" s="1">
        <v>44407</v>
      </c>
      <c r="U398">
        <v>37501</v>
      </c>
      <c r="V398" t="s">
        <v>61</v>
      </c>
      <c r="W398" t="s">
        <v>862</v>
      </c>
      <c r="X398" s="1">
        <v>44432</v>
      </c>
      <c r="Y398" t="s">
        <v>63</v>
      </c>
      <c r="Z398">
        <v>320.69</v>
      </c>
      <c r="AA398">
        <v>16</v>
      </c>
      <c r="AB398">
        <v>51.31</v>
      </c>
      <c r="AC398">
        <v>37.200000000000003</v>
      </c>
      <c r="AD398">
        <v>409.2</v>
      </c>
      <c r="AE398">
        <v>1895.56</v>
      </c>
      <c r="AF398">
        <v>2350</v>
      </c>
      <c r="AG398" t="s">
        <v>854</v>
      </c>
      <c r="AH398" t="s">
        <v>65</v>
      </c>
      <c r="AI398" t="s">
        <v>65</v>
      </c>
      <c r="AJ398" t="s">
        <v>66</v>
      </c>
      <c r="AK398" t="s">
        <v>66</v>
      </c>
      <c r="AL398" t="s">
        <v>66</v>
      </c>
      <c r="AM398" s="2" t="str">
        <f>HYPERLINK("https://transparencia.cidesi.mx/comprobantes/2021/CQ2100684 /C269457548.pdf")</f>
        <v>https://transparencia.cidesi.mx/comprobantes/2021/CQ2100684 /C269457548.pdf</v>
      </c>
      <c r="AN398" t="str">
        <f>HYPERLINK("https://transparencia.cidesi.mx/comprobantes/2021/CQ2100684 /C269457548.pdf")</f>
        <v>https://transparencia.cidesi.mx/comprobantes/2021/CQ2100684 /C269457548.pdf</v>
      </c>
      <c r="AO398" t="str">
        <f>HYPERLINK("https://transparencia.cidesi.mx/comprobantes/2021/CQ2100684 /C269457548.xml")</f>
        <v>https://transparencia.cidesi.mx/comprobantes/2021/CQ2100684 /C269457548.xml</v>
      </c>
      <c r="AP398" t="s">
        <v>863</v>
      </c>
      <c r="AQ398" t="s">
        <v>864</v>
      </c>
      <c r="AR398" t="s">
        <v>865</v>
      </c>
      <c r="AS398" t="s">
        <v>866</v>
      </c>
      <c r="AT398" s="1">
        <v>44435</v>
      </c>
      <c r="AU398" s="1">
        <v>44438</v>
      </c>
    </row>
    <row r="399" spans="1:47" x14ac:dyDescent="0.3">
      <c r="A399" t="s">
        <v>848</v>
      </c>
      <c r="B399" t="s">
        <v>48</v>
      </c>
      <c r="C399" t="s">
        <v>849</v>
      </c>
      <c r="D399">
        <v>604</v>
      </c>
      <c r="E399" t="s">
        <v>850</v>
      </c>
      <c r="F399" t="s">
        <v>723</v>
      </c>
      <c r="G399" t="s">
        <v>351</v>
      </c>
      <c r="H399" t="s">
        <v>860</v>
      </c>
      <c r="I399" t="s">
        <v>54</v>
      </c>
      <c r="J399" t="s">
        <v>861</v>
      </c>
      <c r="K399" t="s">
        <v>56</v>
      </c>
      <c r="L399">
        <v>0</v>
      </c>
      <c r="M399" t="s">
        <v>73</v>
      </c>
      <c r="N399">
        <v>0</v>
      </c>
      <c r="O399" t="s">
        <v>58</v>
      </c>
      <c r="P399" t="s">
        <v>59</v>
      </c>
      <c r="Q399" t="s">
        <v>108</v>
      </c>
      <c r="R399" t="s">
        <v>861</v>
      </c>
      <c r="S399" s="1">
        <v>44406</v>
      </c>
      <c r="T399" s="1">
        <v>44407</v>
      </c>
      <c r="U399">
        <v>37501</v>
      </c>
      <c r="V399" t="s">
        <v>61</v>
      </c>
      <c r="W399" t="s">
        <v>862</v>
      </c>
      <c r="X399" s="1">
        <v>44432</v>
      </c>
      <c r="Y399" t="s">
        <v>63</v>
      </c>
      <c r="Z399">
        <v>257.76</v>
      </c>
      <c r="AA399">
        <v>16</v>
      </c>
      <c r="AB399">
        <v>41.24</v>
      </c>
      <c r="AC399">
        <v>29</v>
      </c>
      <c r="AD399">
        <v>328</v>
      </c>
      <c r="AE399">
        <v>1895.56</v>
      </c>
      <c r="AF399">
        <v>2350</v>
      </c>
      <c r="AG399" t="s">
        <v>854</v>
      </c>
      <c r="AH399" t="s">
        <v>65</v>
      </c>
      <c r="AI399" t="s">
        <v>65</v>
      </c>
      <c r="AJ399" t="s">
        <v>66</v>
      </c>
      <c r="AK399" t="s">
        <v>66</v>
      </c>
      <c r="AL399" t="s">
        <v>66</v>
      </c>
      <c r="AM399" s="2" t="str">
        <f>HYPERLINK("https://transparencia.cidesi.mx/comprobantes/2021/CQ2100684 /C3GLC170630IU9_LNP_12568.pdf")</f>
        <v>https://transparencia.cidesi.mx/comprobantes/2021/CQ2100684 /C3GLC170630IU9_LNP_12568.pdf</v>
      </c>
      <c r="AN399" t="str">
        <f>HYPERLINK("https://transparencia.cidesi.mx/comprobantes/2021/CQ2100684 /C3GLC170630IU9_LNP_12568.pdf")</f>
        <v>https://transparencia.cidesi.mx/comprobantes/2021/CQ2100684 /C3GLC170630IU9_LNP_12568.pdf</v>
      </c>
      <c r="AO399" t="str">
        <f>HYPERLINK("https://transparencia.cidesi.mx/comprobantes/2021/CQ2100684 /C3GLC170630IU9_LNP_12568.xml")</f>
        <v>https://transparencia.cidesi.mx/comprobantes/2021/CQ2100684 /C3GLC170630IU9_LNP_12568.xml</v>
      </c>
      <c r="AP399" t="s">
        <v>863</v>
      </c>
      <c r="AQ399" t="s">
        <v>864</v>
      </c>
      <c r="AR399" t="s">
        <v>865</v>
      </c>
      <c r="AS399" t="s">
        <v>866</v>
      </c>
      <c r="AT399" s="1">
        <v>44435</v>
      </c>
      <c r="AU399" s="1">
        <v>44438</v>
      </c>
    </row>
    <row r="400" spans="1:47" x14ac:dyDescent="0.3">
      <c r="A400" t="s">
        <v>848</v>
      </c>
      <c r="B400" t="s">
        <v>48</v>
      </c>
      <c r="C400" t="s">
        <v>849</v>
      </c>
      <c r="D400">
        <v>604</v>
      </c>
      <c r="E400" t="s">
        <v>850</v>
      </c>
      <c r="F400" t="s">
        <v>723</v>
      </c>
      <c r="G400" t="s">
        <v>351</v>
      </c>
      <c r="H400" t="s">
        <v>860</v>
      </c>
      <c r="I400" t="s">
        <v>54</v>
      </c>
      <c r="J400" t="s">
        <v>861</v>
      </c>
      <c r="K400" t="s">
        <v>56</v>
      </c>
      <c r="L400">
        <v>0</v>
      </c>
      <c r="M400" t="s">
        <v>73</v>
      </c>
      <c r="N400">
        <v>0</v>
      </c>
      <c r="O400" t="s">
        <v>58</v>
      </c>
      <c r="P400" t="s">
        <v>59</v>
      </c>
      <c r="Q400" t="s">
        <v>108</v>
      </c>
      <c r="R400" t="s">
        <v>861</v>
      </c>
      <c r="S400" s="1">
        <v>44406</v>
      </c>
      <c r="T400" s="1">
        <v>44407</v>
      </c>
      <c r="U400">
        <v>37501</v>
      </c>
      <c r="V400" t="s">
        <v>61</v>
      </c>
      <c r="W400" t="s">
        <v>862</v>
      </c>
      <c r="X400" s="1">
        <v>44432</v>
      </c>
      <c r="Y400" t="s">
        <v>63</v>
      </c>
      <c r="Z400">
        <v>1003.91</v>
      </c>
      <c r="AA400">
        <v>16</v>
      </c>
      <c r="AB400">
        <v>154.44999999999999</v>
      </c>
      <c r="AC400">
        <v>0</v>
      </c>
      <c r="AD400">
        <v>1158.3599999999999</v>
      </c>
      <c r="AE400">
        <v>1895.56</v>
      </c>
      <c r="AF400">
        <v>2350</v>
      </c>
      <c r="AG400" t="s">
        <v>854</v>
      </c>
      <c r="AH400" t="s">
        <v>65</v>
      </c>
      <c r="AI400" t="s">
        <v>65</v>
      </c>
      <c r="AJ400" t="s">
        <v>66</v>
      </c>
      <c r="AK400" t="s">
        <v>66</v>
      </c>
      <c r="AL400" t="s">
        <v>66</v>
      </c>
      <c r="AM400" s="2" t="str">
        <f>HYPERLINK("https://transparencia.cidesi.mx/comprobantes/2021/CQ2100684 /C4FFX121005C6A-30-07-2021024521942-F1XCUA63017.pdf")</f>
        <v>https://transparencia.cidesi.mx/comprobantes/2021/CQ2100684 /C4FFX121005C6A-30-07-2021024521942-F1XCUA63017.pdf</v>
      </c>
      <c r="AN400" t="str">
        <f>HYPERLINK("https://transparencia.cidesi.mx/comprobantes/2021/CQ2100684 /C4FFX121005C6A-30-07-2021024521942-F1XCUA63017.pdf")</f>
        <v>https://transparencia.cidesi.mx/comprobantes/2021/CQ2100684 /C4FFX121005C6A-30-07-2021024521942-F1XCUA63017.pdf</v>
      </c>
      <c r="AO400" t="str">
        <f>HYPERLINK("https://transparencia.cidesi.mx/comprobantes/2021/CQ2100684 /C4FFX121005C6A-30-07-2021024521942-F1XCUA63017.xml")</f>
        <v>https://transparencia.cidesi.mx/comprobantes/2021/CQ2100684 /C4FFX121005C6A-30-07-2021024521942-F1XCUA63017.xml</v>
      </c>
      <c r="AP400" t="s">
        <v>863</v>
      </c>
      <c r="AQ400" t="s">
        <v>864</v>
      </c>
      <c r="AR400" t="s">
        <v>865</v>
      </c>
      <c r="AS400" t="s">
        <v>866</v>
      </c>
      <c r="AT400" s="1">
        <v>44435</v>
      </c>
      <c r="AU400" s="1">
        <v>44438</v>
      </c>
    </row>
    <row r="401" spans="1:47" x14ac:dyDescent="0.3">
      <c r="A401" t="s">
        <v>848</v>
      </c>
      <c r="B401" t="s">
        <v>48</v>
      </c>
      <c r="C401" t="s">
        <v>849</v>
      </c>
      <c r="D401">
        <v>604</v>
      </c>
      <c r="E401" t="s">
        <v>850</v>
      </c>
      <c r="F401" t="s">
        <v>723</v>
      </c>
      <c r="G401" t="s">
        <v>351</v>
      </c>
      <c r="H401" t="s">
        <v>867</v>
      </c>
      <c r="I401" t="s">
        <v>54</v>
      </c>
      <c r="J401" t="s">
        <v>868</v>
      </c>
      <c r="K401" t="s">
        <v>56</v>
      </c>
      <c r="L401">
        <v>0</v>
      </c>
      <c r="M401" t="s">
        <v>73</v>
      </c>
      <c r="N401">
        <v>0</v>
      </c>
      <c r="O401" t="s">
        <v>58</v>
      </c>
      <c r="P401" t="s">
        <v>59</v>
      </c>
      <c r="Q401" t="s">
        <v>330</v>
      </c>
      <c r="R401" t="s">
        <v>868</v>
      </c>
      <c r="S401" s="1">
        <v>44440</v>
      </c>
      <c r="T401" s="1">
        <v>44442</v>
      </c>
      <c r="U401">
        <v>37501</v>
      </c>
      <c r="V401" t="s">
        <v>104</v>
      </c>
      <c r="W401" t="s">
        <v>869</v>
      </c>
      <c r="X401" s="1">
        <v>44460</v>
      </c>
      <c r="Y401" t="s">
        <v>63</v>
      </c>
      <c r="Z401">
        <v>2059.67</v>
      </c>
      <c r="AA401">
        <v>16</v>
      </c>
      <c r="AB401">
        <v>319.95</v>
      </c>
      <c r="AC401">
        <v>0</v>
      </c>
      <c r="AD401">
        <v>2379.62</v>
      </c>
      <c r="AE401">
        <v>3581.92</v>
      </c>
      <c r="AF401">
        <v>3917</v>
      </c>
      <c r="AG401" t="s">
        <v>859</v>
      </c>
      <c r="AH401" t="s">
        <v>65</v>
      </c>
      <c r="AI401" t="s">
        <v>65</v>
      </c>
      <c r="AJ401" t="s">
        <v>66</v>
      </c>
      <c r="AK401" t="s">
        <v>66</v>
      </c>
      <c r="AL401" t="s">
        <v>66</v>
      </c>
      <c r="AM401" s="2" t="str">
        <f>HYPERLINK("https://transparencia.cidesi.mx/comprobantes/2021/CQ2100848 /C1DBM121023M10-03-09-2021-075656057-edd758d5-3b37-4d59-b979-949a31408590-MTYZOA-38276.pdf")</f>
        <v>https://transparencia.cidesi.mx/comprobantes/2021/CQ2100848 /C1DBM121023M10-03-09-2021-075656057-edd758d5-3b37-4d59-b979-949a31408590-MTYZOA-38276.pdf</v>
      </c>
      <c r="AN401" t="str">
        <f>HYPERLINK("https://transparencia.cidesi.mx/comprobantes/2021/CQ2100848 /C1DBM121023M10-03-09-2021-075656057-edd758d5-3b37-4d59-b979-949a31408590-MTYZOA-38276.pdf")</f>
        <v>https://transparencia.cidesi.mx/comprobantes/2021/CQ2100848 /C1DBM121023M10-03-09-2021-075656057-edd758d5-3b37-4d59-b979-949a31408590-MTYZOA-38276.pdf</v>
      </c>
      <c r="AO401" t="str">
        <f>HYPERLINK("https://transparencia.cidesi.mx/comprobantes/2021/CQ2100848 /C1DBM121023M10-03-09-2021-075656057-edd758d5-3b37-4d59-b979-949a31408590-MTYZOA-38276.xml")</f>
        <v>https://transparencia.cidesi.mx/comprobantes/2021/CQ2100848 /C1DBM121023M10-03-09-2021-075656057-edd758d5-3b37-4d59-b979-949a31408590-MTYZOA-38276.xml</v>
      </c>
      <c r="AP401" t="s">
        <v>870</v>
      </c>
      <c r="AQ401" t="s">
        <v>871</v>
      </c>
      <c r="AR401" t="s">
        <v>872</v>
      </c>
      <c r="AS401" t="s">
        <v>873</v>
      </c>
      <c r="AT401" s="1">
        <v>44460</v>
      </c>
      <c r="AU401" s="1">
        <v>44467</v>
      </c>
    </row>
    <row r="402" spans="1:47" x14ac:dyDescent="0.3">
      <c r="A402" t="s">
        <v>848</v>
      </c>
      <c r="B402" t="s">
        <v>48</v>
      </c>
      <c r="C402" t="s">
        <v>849</v>
      </c>
      <c r="D402">
        <v>604</v>
      </c>
      <c r="E402" t="s">
        <v>850</v>
      </c>
      <c r="F402" t="s">
        <v>723</v>
      </c>
      <c r="G402" t="s">
        <v>351</v>
      </c>
      <c r="H402" t="s">
        <v>867</v>
      </c>
      <c r="I402" t="s">
        <v>54</v>
      </c>
      <c r="J402" t="s">
        <v>868</v>
      </c>
      <c r="K402" t="s">
        <v>56</v>
      </c>
      <c r="L402">
        <v>0</v>
      </c>
      <c r="M402" t="s">
        <v>73</v>
      </c>
      <c r="N402">
        <v>0</v>
      </c>
      <c r="O402" t="s">
        <v>58</v>
      </c>
      <c r="P402" t="s">
        <v>59</v>
      </c>
      <c r="Q402" t="s">
        <v>330</v>
      </c>
      <c r="R402" t="s">
        <v>868</v>
      </c>
      <c r="S402" s="1">
        <v>44440</v>
      </c>
      <c r="T402" s="1">
        <v>44442</v>
      </c>
      <c r="U402">
        <v>37501</v>
      </c>
      <c r="V402" t="s">
        <v>61</v>
      </c>
      <c r="W402" t="s">
        <v>869</v>
      </c>
      <c r="X402" s="1">
        <v>44460</v>
      </c>
      <c r="Y402" t="s">
        <v>63</v>
      </c>
      <c r="Z402">
        <v>343.1</v>
      </c>
      <c r="AA402">
        <v>16</v>
      </c>
      <c r="AB402">
        <v>54.9</v>
      </c>
      <c r="AC402">
        <v>0</v>
      </c>
      <c r="AD402">
        <v>398</v>
      </c>
      <c r="AE402">
        <v>3581.92</v>
      </c>
      <c r="AF402">
        <v>3917</v>
      </c>
      <c r="AG402" t="s">
        <v>854</v>
      </c>
      <c r="AH402" t="s">
        <v>65</v>
      </c>
      <c r="AI402" t="s">
        <v>65</v>
      </c>
      <c r="AJ402" t="s">
        <v>66</v>
      </c>
      <c r="AK402" t="s">
        <v>66</v>
      </c>
      <c r="AL402" t="s">
        <v>66</v>
      </c>
      <c r="AM402" s="2" t="str">
        <f>HYPERLINK("https://transparencia.cidesi.mx/comprobantes/2021/CQ2100848 /C2FacturaFRP-178244.pdf")</f>
        <v>https://transparencia.cidesi.mx/comprobantes/2021/CQ2100848 /C2FacturaFRP-178244.pdf</v>
      </c>
      <c r="AN402" t="str">
        <f>HYPERLINK("https://transparencia.cidesi.mx/comprobantes/2021/CQ2100848 /C2FacturaFRP-178244.pdf")</f>
        <v>https://transparencia.cidesi.mx/comprobantes/2021/CQ2100848 /C2FacturaFRP-178244.pdf</v>
      </c>
      <c r="AO402" t="str">
        <f>HYPERLINK("https://transparencia.cidesi.mx/comprobantes/2021/CQ2100848 /C2FacturaFRP-178244.xml")</f>
        <v>https://transparencia.cidesi.mx/comprobantes/2021/CQ2100848 /C2FacturaFRP-178244.xml</v>
      </c>
      <c r="AP402" t="s">
        <v>870</v>
      </c>
      <c r="AQ402" t="s">
        <v>871</v>
      </c>
      <c r="AR402" t="s">
        <v>872</v>
      </c>
      <c r="AS402" t="s">
        <v>873</v>
      </c>
      <c r="AT402" s="1">
        <v>44460</v>
      </c>
      <c r="AU402" s="1">
        <v>44467</v>
      </c>
    </row>
    <row r="403" spans="1:47" x14ac:dyDescent="0.3">
      <c r="A403" t="s">
        <v>848</v>
      </c>
      <c r="B403" t="s">
        <v>48</v>
      </c>
      <c r="C403" t="s">
        <v>849</v>
      </c>
      <c r="D403">
        <v>604</v>
      </c>
      <c r="E403" t="s">
        <v>850</v>
      </c>
      <c r="F403" t="s">
        <v>723</v>
      </c>
      <c r="G403" t="s">
        <v>351</v>
      </c>
      <c r="H403" t="s">
        <v>867</v>
      </c>
      <c r="I403" t="s">
        <v>54</v>
      </c>
      <c r="J403" t="s">
        <v>868</v>
      </c>
      <c r="K403" t="s">
        <v>56</v>
      </c>
      <c r="L403">
        <v>0</v>
      </c>
      <c r="M403" t="s">
        <v>73</v>
      </c>
      <c r="N403">
        <v>0</v>
      </c>
      <c r="O403" t="s">
        <v>58</v>
      </c>
      <c r="P403" t="s">
        <v>59</v>
      </c>
      <c r="Q403" t="s">
        <v>330</v>
      </c>
      <c r="R403" t="s">
        <v>868</v>
      </c>
      <c r="S403" s="1">
        <v>44440</v>
      </c>
      <c r="T403" s="1">
        <v>44442</v>
      </c>
      <c r="U403">
        <v>37501</v>
      </c>
      <c r="V403" t="s">
        <v>61</v>
      </c>
      <c r="W403" t="s">
        <v>869</v>
      </c>
      <c r="X403" s="1">
        <v>44460</v>
      </c>
      <c r="Y403" t="s">
        <v>63</v>
      </c>
      <c r="Z403">
        <v>459.05</v>
      </c>
      <c r="AA403">
        <v>16</v>
      </c>
      <c r="AB403">
        <v>53.25</v>
      </c>
      <c r="AC403">
        <v>0</v>
      </c>
      <c r="AD403">
        <v>512.29999999999995</v>
      </c>
      <c r="AE403">
        <v>3581.92</v>
      </c>
      <c r="AF403">
        <v>3917</v>
      </c>
      <c r="AG403" t="s">
        <v>854</v>
      </c>
      <c r="AH403" t="s">
        <v>65</v>
      </c>
      <c r="AI403" t="s">
        <v>65</v>
      </c>
      <c r="AJ403" t="s">
        <v>66</v>
      </c>
      <c r="AK403" t="s">
        <v>66</v>
      </c>
      <c r="AL403" t="s">
        <v>66</v>
      </c>
      <c r="AM403" s="2" t="str">
        <f>HYPERLINK("https://transparencia.cidesi.mx/comprobantes/2021/CQ2100848 /C3CID840309UG7-110720-LFAPO.pdf")</f>
        <v>https://transparencia.cidesi.mx/comprobantes/2021/CQ2100848 /C3CID840309UG7-110720-LFAPO.pdf</v>
      </c>
      <c r="AN403" t="str">
        <f>HYPERLINK("https://transparencia.cidesi.mx/comprobantes/2021/CQ2100848 /C3CID840309UG7-110720-LFAPO.pdf")</f>
        <v>https://transparencia.cidesi.mx/comprobantes/2021/CQ2100848 /C3CID840309UG7-110720-LFAPO.pdf</v>
      </c>
      <c r="AO403" t="str">
        <f>HYPERLINK("https://transparencia.cidesi.mx/comprobantes/2021/CQ2100848 /C3CID840309UG7-110720-LFAPO.xml")</f>
        <v>https://transparencia.cidesi.mx/comprobantes/2021/CQ2100848 /C3CID840309UG7-110720-LFAPO.xml</v>
      </c>
      <c r="AP403" t="s">
        <v>870</v>
      </c>
      <c r="AQ403" t="s">
        <v>871</v>
      </c>
      <c r="AR403" t="s">
        <v>872</v>
      </c>
      <c r="AS403" t="s">
        <v>873</v>
      </c>
      <c r="AT403" s="1">
        <v>44460</v>
      </c>
      <c r="AU403" s="1">
        <v>44467</v>
      </c>
    </row>
    <row r="404" spans="1:47" x14ac:dyDescent="0.3">
      <c r="A404" t="s">
        <v>848</v>
      </c>
      <c r="B404" t="s">
        <v>48</v>
      </c>
      <c r="C404" t="s">
        <v>849</v>
      </c>
      <c r="D404">
        <v>604</v>
      </c>
      <c r="E404" t="s">
        <v>850</v>
      </c>
      <c r="F404" t="s">
        <v>723</v>
      </c>
      <c r="G404" t="s">
        <v>351</v>
      </c>
      <c r="H404" t="s">
        <v>867</v>
      </c>
      <c r="I404" t="s">
        <v>54</v>
      </c>
      <c r="J404" t="s">
        <v>868</v>
      </c>
      <c r="K404" t="s">
        <v>56</v>
      </c>
      <c r="L404">
        <v>0</v>
      </c>
      <c r="M404" t="s">
        <v>73</v>
      </c>
      <c r="N404">
        <v>0</v>
      </c>
      <c r="O404" t="s">
        <v>58</v>
      </c>
      <c r="P404" t="s">
        <v>59</v>
      </c>
      <c r="Q404" t="s">
        <v>330</v>
      </c>
      <c r="R404" t="s">
        <v>868</v>
      </c>
      <c r="S404" s="1">
        <v>44440</v>
      </c>
      <c r="T404" s="1">
        <v>44442</v>
      </c>
      <c r="U404">
        <v>37501</v>
      </c>
      <c r="V404" t="s">
        <v>61</v>
      </c>
      <c r="W404" t="s">
        <v>869</v>
      </c>
      <c r="X404" s="1">
        <v>44460</v>
      </c>
      <c r="Y404" t="s">
        <v>63</v>
      </c>
      <c r="Z404">
        <v>251.72</v>
      </c>
      <c r="AA404">
        <v>16</v>
      </c>
      <c r="AB404">
        <v>40.28</v>
      </c>
      <c r="AC404">
        <v>0</v>
      </c>
      <c r="AD404">
        <v>292</v>
      </c>
      <c r="AE404">
        <v>3581.92</v>
      </c>
      <c r="AF404">
        <v>3917</v>
      </c>
      <c r="AG404" t="s">
        <v>854</v>
      </c>
      <c r="AH404" t="s">
        <v>65</v>
      </c>
      <c r="AI404" t="s">
        <v>65</v>
      </c>
      <c r="AJ404" t="s">
        <v>66</v>
      </c>
      <c r="AK404" t="s">
        <v>66</v>
      </c>
      <c r="AL404" t="s">
        <v>66</v>
      </c>
      <c r="AM404" s="2" t="str">
        <f>HYPERLINK("https://transparencia.cidesi.mx/comprobantes/2021/CQ2100848 /C4CID840309UG7_13171_D_47D513E7-B8B0-458B-A738-5999D71ACBBD.pdf")</f>
        <v>https://transparencia.cidesi.mx/comprobantes/2021/CQ2100848 /C4CID840309UG7_13171_D_47D513E7-B8B0-458B-A738-5999D71ACBBD.pdf</v>
      </c>
      <c r="AN404" t="str">
        <f>HYPERLINK("https://transparencia.cidesi.mx/comprobantes/2021/CQ2100848 /C4CID840309UG7_13171_D_47D513E7-B8B0-458B-A738-5999D71ACBBD.pdf")</f>
        <v>https://transparencia.cidesi.mx/comprobantes/2021/CQ2100848 /C4CID840309UG7_13171_D_47D513E7-B8B0-458B-A738-5999D71ACBBD.pdf</v>
      </c>
      <c r="AO404" t="str">
        <f>HYPERLINK("https://transparencia.cidesi.mx/comprobantes/2021/CQ2100848 /C4CID840309UG7_13171_D_47D513E7-B8B0-458B-A738-5999D71ACBBD.xml")</f>
        <v>https://transparencia.cidesi.mx/comprobantes/2021/CQ2100848 /C4CID840309UG7_13171_D_47D513E7-B8B0-458B-A738-5999D71ACBBD.xml</v>
      </c>
      <c r="AP404" t="s">
        <v>870</v>
      </c>
      <c r="AQ404" t="s">
        <v>871</v>
      </c>
      <c r="AR404" t="s">
        <v>872</v>
      </c>
      <c r="AS404" t="s">
        <v>873</v>
      </c>
      <c r="AT404" s="1">
        <v>44460</v>
      </c>
      <c r="AU404" s="1">
        <v>44467</v>
      </c>
    </row>
    <row r="405" spans="1:47" x14ac:dyDescent="0.3">
      <c r="A405" t="s">
        <v>848</v>
      </c>
      <c r="B405" t="s">
        <v>48</v>
      </c>
      <c r="C405" t="s">
        <v>849</v>
      </c>
      <c r="D405">
        <v>604</v>
      </c>
      <c r="E405" t="s">
        <v>850</v>
      </c>
      <c r="F405" t="s">
        <v>723</v>
      </c>
      <c r="G405" t="s">
        <v>351</v>
      </c>
      <c r="H405" t="s">
        <v>874</v>
      </c>
      <c r="I405" t="s">
        <v>54</v>
      </c>
      <c r="J405" t="s">
        <v>875</v>
      </c>
      <c r="K405" t="s">
        <v>56</v>
      </c>
      <c r="L405">
        <v>101019</v>
      </c>
      <c r="M405" t="s">
        <v>493</v>
      </c>
      <c r="N405">
        <v>0</v>
      </c>
      <c r="O405" t="s">
        <v>58</v>
      </c>
      <c r="P405" t="s">
        <v>59</v>
      </c>
      <c r="Q405" t="s">
        <v>87</v>
      </c>
      <c r="R405" t="s">
        <v>875</v>
      </c>
      <c r="S405" s="1">
        <v>44462</v>
      </c>
      <c r="T405" s="1">
        <v>44463</v>
      </c>
      <c r="U405">
        <v>37501</v>
      </c>
      <c r="V405" t="s">
        <v>104</v>
      </c>
      <c r="W405" t="s">
        <v>876</v>
      </c>
      <c r="X405" s="1">
        <v>44467</v>
      </c>
      <c r="Y405" t="s">
        <v>63</v>
      </c>
      <c r="Z405">
        <v>1014.16</v>
      </c>
      <c r="AA405">
        <v>16</v>
      </c>
      <c r="AB405">
        <v>156.02000000000001</v>
      </c>
      <c r="AC405">
        <v>0</v>
      </c>
      <c r="AD405">
        <v>1170.18</v>
      </c>
      <c r="AE405">
        <v>2092.1799999999998</v>
      </c>
      <c r="AF405">
        <v>3103</v>
      </c>
      <c r="AG405" t="s">
        <v>859</v>
      </c>
      <c r="AH405" t="s">
        <v>66</v>
      </c>
      <c r="AI405" t="s">
        <v>65</v>
      </c>
      <c r="AJ405" t="s">
        <v>66</v>
      </c>
      <c r="AK405" t="s">
        <v>66</v>
      </c>
      <c r="AL405" t="s">
        <v>66</v>
      </c>
      <c r="AM405" s="2" t="str">
        <f>HYPERLINK("https://transparencia.cidesi.mx/comprobantes/2021/CQ2100906 /C1FFX121005C6A-24-09-2021031500568-F1XCUA64419.pdf")</f>
        <v>https://transparencia.cidesi.mx/comprobantes/2021/CQ2100906 /C1FFX121005C6A-24-09-2021031500568-F1XCUA64419.pdf</v>
      </c>
      <c r="AN405" t="str">
        <f>HYPERLINK("https://transparencia.cidesi.mx/comprobantes/2021/CQ2100906 /C1FFX121005C6A-24-09-2021031500568-F1XCUA64419.pdf")</f>
        <v>https://transparencia.cidesi.mx/comprobantes/2021/CQ2100906 /C1FFX121005C6A-24-09-2021031500568-F1XCUA64419.pdf</v>
      </c>
      <c r="AO405" t="str">
        <f>HYPERLINK("https://transparencia.cidesi.mx/comprobantes/2021/CQ2100906 /C1FFX121005C6A-24-09-2021031500568-F1XCUA64419.xml")</f>
        <v>https://transparencia.cidesi.mx/comprobantes/2021/CQ2100906 /C1FFX121005C6A-24-09-2021031500568-F1XCUA64419.xml</v>
      </c>
      <c r="AP405" t="s">
        <v>877</v>
      </c>
      <c r="AQ405" t="s">
        <v>878</v>
      </c>
      <c r="AR405" t="s">
        <v>879</v>
      </c>
      <c r="AS405" t="s">
        <v>880</v>
      </c>
      <c r="AT405" s="1">
        <v>44470</v>
      </c>
      <c r="AU405" s="1">
        <v>44473</v>
      </c>
    </row>
    <row r="406" spans="1:47" x14ac:dyDescent="0.3">
      <c r="A406" t="s">
        <v>848</v>
      </c>
      <c r="B406" t="s">
        <v>48</v>
      </c>
      <c r="C406" t="s">
        <v>849</v>
      </c>
      <c r="D406">
        <v>604</v>
      </c>
      <c r="E406" t="s">
        <v>850</v>
      </c>
      <c r="F406" t="s">
        <v>723</v>
      </c>
      <c r="G406" t="s">
        <v>351</v>
      </c>
      <c r="H406" t="s">
        <v>874</v>
      </c>
      <c r="I406" t="s">
        <v>54</v>
      </c>
      <c r="J406" t="s">
        <v>875</v>
      </c>
      <c r="K406" t="s">
        <v>56</v>
      </c>
      <c r="L406">
        <v>101019</v>
      </c>
      <c r="M406" t="s">
        <v>493</v>
      </c>
      <c r="N406">
        <v>0</v>
      </c>
      <c r="O406" t="s">
        <v>58</v>
      </c>
      <c r="P406" t="s">
        <v>59</v>
      </c>
      <c r="Q406" t="s">
        <v>87</v>
      </c>
      <c r="R406" t="s">
        <v>875</v>
      </c>
      <c r="S406" s="1">
        <v>44462</v>
      </c>
      <c r="T406" s="1">
        <v>44463</v>
      </c>
      <c r="U406">
        <v>37501</v>
      </c>
      <c r="V406" t="s">
        <v>61</v>
      </c>
      <c r="W406" t="s">
        <v>876</v>
      </c>
      <c r="X406" s="1">
        <v>44467</v>
      </c>
      <c r="Y406" t="s">
        <v>63</v>
      </c>
      <c r="Z406">
        <v>353.02</v>
      </c>
      <c r="AA406">
        <v>16</v>
      </c>
      <c r="AB406">
        <v>56.48</v>
      </c>
      <c r="AC406">
        <v>0</v>
      </c>
      <c r="AD406">
        <v>409.5</v>
      </c>
      <c r="AE406">
        <v>2092.1799999999998</v>
      </c>
      <c r="AF406">
        <v>3103</v>
      </c>
      <c r="AG406" t="s">
        <v>854</v>
      </c>
      <c r="AH406" t="s">
        <v>65</v>
      </c>
      <c r="AI406" t="s">
        <v>65</v>
      </c>
      <c r="AJ406" t="s">
        <v>66</v>
      </c>
      <c r="AK406" t="s">
        <v>66</v>
      </c>
      <c r="AL406" t="s">
        <v>66</v>
      </c>
      <c r="AM406" s="2" t="str">
        <f>HYPERLINK("https://transparencia.cidesi.mx/comprobantes/2021/CQ2100906 /C2FTR080421DX5FFQR92903.pdf")</f>
        <v>https://transparencia.cidesi.mx/comprobantes/2021/CQ2100906 /C2FTR080421DX5FFQR92903.pdf</v>
      </c>
      <c r="AN406" t="str">
        <f>HYPERLINK("https://transparencia.cidesi.mx/comprobantes/2021/CQ2100906 /C2FTR080421DX5FFQR92903.pdf")</f>
        <v>https://transparencia.cidesi.mx/comprobantes/2021/CQ2100906 /C2FTR080421DX5FFQR92903.pdf</v>
      </c>
      <c r="AO406" t="str">
        <f>HYPERLINK("https://transparencia.cidesi.mx/comprobantes/2021/CQ2100906 /C2FTR080421DX5FFQR92903.xml")</f>
        <v>https://transparencia.cidesi.mx/comprobantes/2021/CQ2100906 /C2FTR080421DX5FFQR92903.xml</v>
      </c>
      <c r="AP406" t="s">
        <v>877</v>
      </c>
      <c r="AQ406" t="s">
        <v>878</v>
      </c>
      <c r="AR406" t="s">
        <v>879</v>
      </c>
      <c r="AS406" t="s">
        <v>880</v>
      </c>
      <c r="AT406" s="1">
        <v>44470</v>
      </c>
      <c r="AU406" s="1">
        <v>44473</v>
      </c>
    </row>
    <row r="407" spans="1:47" x14ac:dyDescent="0.3">
      <c r="A407" t="s">
        <v>848</v>
      </c>
      <c r="B407" t="s">
        <v>48</v>
      </c>
      <c r="C407" t="s">
        <v>849</v>
      </c>
      <c r="D407">
        <v>604</v>
      </c>
      <c r="E407" t="s">
        <v>850</v>
      </c>
      <c r="F407" t="s">
        <v>723</v>
      </c>
      <c r="G407" t="s">
        <v>351</v>
      </c>
      <c r="H407" t="s">
        <v>874</v>
      </c>
      <c r="I407" t="s">
        <v>54</v>
      </c>
      <c r="J407" t="s">
        <v>875</v>
      </c>
      <c r="K407" t="s">
        <v>56</v>
      </c>
      <c r="L407">
        <v>101019</v>
      </c>
      <c r="M407" t="s">
        <v>493</v>
      </c>
      <c r="N407">
        <v>0</v>
      </c>
      <c r="O407" t="s">
        <v>58</v>
      </c>
      <c r="P407" t="s">
        <v>59</v>
      </c>
      <c r="Q407" t="s">
        <v>87</v>
      </c>
      <c r="R407" t="s">
        <v>875</v>
      </c>
      <c r="S407" s="1">
        <v>44462</v>
      </c>
      <c r="T407" s="1">
        <v>44463</v>
      </c>
      <c r="U407">
        <v>37501</v>
      </c>
      <c r="V407" t="s">
        <v>61</v>
      </c>
      <c r="W407" t="s">
        <v>876</v>
      </c>
      <c r="X407" s="1">
        <v>44467</v>
      </c>
      <c r="Y407" t="s">
        <v>63</v>
      </c>
      <c r="Z407">
        <v>346.98</v>
      </c>
      <c r="AA407">
        <v>16</v>
      </c>
      <c r="AB407">
        <v>55.52</v>
      </c>
      <c r="AC407">
        <v>0</v>
      </c>
      <c r="AD407">
        <v>402.5</v>
      </c>
      <c r="AE407">
        <v>2092.1799999999998</v>
      </c>
      <c r="AF407">
        <v>3103</v>
      </c>
      <c r="AG407" t="s">
        <v>854</v>
      </c>
      <c r="AH407" t="s">
        <v>65</v>
      </c>
      <c r="AI407" t="s">
        <v>65</v>
      </c>
      <c r="AJ407" t="s">
        <v>66</v>
      </c>
      <c r="AK407" t="s">
        <v>66</v>
      </c>
      <c r="AL407" t="s">
        <v>66</v>
      </c>
      <c r="AM407" s="2" t="str">
        <f>HYPERLINK("https://transparencia.cidesi.mx/comprobantes/2021/CQ2100906 /C370471914.pdf")</f>
        <v>https://transparencia.cidesi.mx/comprobantes/2021/CQ2100906 /C370471914.pdf</v>
      </c>
      <c r="AN407" t="str">
        <f>HYPERLINK("https://transparencia.cidesi.mx/comprobantes/2021/CQ2100906 /C370471914.pdf")</f>
        <v>https://transparencia.cidesi.mx/comprobantes/2021/CQ2100906 /C370471914.pdf</v>
      </c>
      <c r="AO407" t="str">
        <f>HYPERLINK("https://transparencia.cidesi.mx/comprobantes/2021/CQ2100906 /C370471914.xml")</f>
        <v>https://transparencia.cidesi.mx/comprobantes/2021/CQ2100906 /C370471914.xml</v>
      </c>
      <c r="AP407" t="s">
        <v>877</v>
      </c>
      <c r="AQ407" t="s">
        <v>878</v>
      </c>
      <c r="AR407" t="s">
        <v>879</v>
      </c>
      <c r="AS407" t="s">
        <v>880</v>
      </c>
      <c r="AT407" s="1">
        <v>44470</v>
      </c>
      <c r="AU407" s="1">
        <v>44473</v>
      </c>
    </row>
    <row r="408" spans="1:47" x14ac:dyDescent="0.3">
      <c r="A408" t="s">
        <v>848</v>
      </c>
      <c r="B408" t="s">
        <v>48</v>
      </c>
      <c r="C408" t="s">
        <v>849</v>
      </c>
      <c r="D408">
        <v>604</v>
      </c>
      <c r="E408" t="s">
        <v>850</v>
      </c>
      <c r="F408" t="s">
        <v>723</v>
      </c>
      <c r="G408" t="s">
        <v>351</v>
      </c>
      <c r="H408" t="s">
        <v>874</v>
      </c>
      <c r="I408" t="s">
        <v>54</v>
      </c>
      <c r="J408" t="s">
        <v>875</v>
      </c>
      <c r="K408" t="s">
        <v>56</v>
      </c>
      <c r="L408">
        <v>101019</v>
      </c>
      <c r="M408" t="s">
        <v>493</v>
      </c>
      <c r="N408">
        <v>0</v>
      </c>
      <c r="O408" t="s">
        <v>58</v>
      </c>
      <c r="P408" t="s">
        <v>59</v>
      </c>
      <c r="Q408" t="s">
        <v>87</v>
      </c>
      <c r="R408" t="s">
        <v>875</v>
      </c>
      <c r="S408" s="1">
        <v>44462</v>
      </c>
      <c r="T408" s="1">
        <v>44463</v>
      </c>
      <c r="U408">
        <v>37501</v>
      </c>
      <c r="V408" t="s">
        <v>61</v>
      </c>
      <c r="W408" t="s">
        <v>876</v>
      </c>
      <c r="X408" s="1">
        <v>44467</v>
      </c>
      <c r="Y408" t="s">
        <v>63</v>
      </c>
      <c r="Z408">
        <v>94.83</v>
      </c>
      <c r="AA408">
        <v>16</v>
      </c>
      <c r="AB408">
        <v>15.17</v>
      </c>
      <c r="AC408">
        <v>0</v>
      </c>
      <c r="AD408">
        <v>110</v>
      </c>
      <c r="AE408">
        <v>2092.1799999999998</v>
      </c>
      <c r="AF408">
        <v>3103</v>
      </c>
      <c r="AG408" t="s">
        <v>854</v>
      </c>
      <c r="AH408" t="s">
        <v>65</v>
      </c>
      <c r="AI408" t="s">
        <v>65</v>
      </c>
      <c r="AJ408" t="s">
        <v>66</v>
      </c>
      <c r="AK408" t="s">
        <v>66</v>
      </c>
      <c r="AL408" t="s">
        <v>66</v>
      </c>
      <c r="AM408" s="2" t="str">
        <f>HYPERLINK("https://transparencia.cidesi.mx/comprobantes/2021/CQ2100906 /C470472028.pdf")</f>
        <v>https://transparencia.cidesi.mx/comprobantes/2021/CQ2100906 /C470472028.pdf</v>
      </c>
      <c r="AN408" t="str">
        <f>HYPERLINK("https://transparencia.cidesi.mx/comprobantes/2021/CQ2100906 /C470472028.pdf")</f>
        <v>https://transparencia.cidesi.mx/comprobantes/2021/CQ2100906 /C470472028.pdf</v>
      </c>
      <c r="AO408" t="str">
        <f>HYPERLINK("https://transparencia.cidesi.mx/comprobantes/2021/CQ2100906 /C470472028.xml")</f>
        <v>https://transparencia.cidesi.mx/comprobantes/2021/CQ2100906 /C470472028.xml</v>
      </c>
      <c r="AP408" t="s">
        <v>877</v>
      </c>
      <c r="AQ408" t="s">
        <v>878</v>
      </c>
      <c r="AR408" t="s">
        <v>879</v>
      </c>
      <c r="AS408" t="s">
        <v>880</v>
      </c>
      <c r="AT408" s="1">
        <v>44470</v>
      </c>
      <c r="AU408" s="1">
        <v>44473</v>
      </c>
    </row>
    <row r="409" spans="1:47" x14ac:dyDescent="0.3">
      <c r="A409" t="s">
        <v>881</v>
      </c>
      <c r="B409" t="s">
        <v>224</v>
      </c>
      <c r="C409" t="s">
        <v>225</v>
      </c>
      <c r="D409">
        <v>608</v>
      </c>
      <c r="E409" t="s">
        <v>882</v>
      </c>
      <c r="F409" t="s">
        <v>883</v>
      </c>
      <c r="G409" t="s">
        <v>884</v>
      </c>
      <c r="H409" t="s">
        <v>885</v>
      </c>
      <c r="I409" t="s">
        <v>54</v>
      </c>
      <c r="J409" t="s">
        <v>886</v>
      </c>
      <c r="K409" t="s">
        <v>56</v>
      </c>
      <c r="L409">
        <v>0</v>
      </c>
      <c r="M409" t="s">
        <v>73</v>
      </c>
      <c r="N409">
        <v>0</v>
      </c>
      <c r="O409" t="s">
        <v>58</v>
      </c>
      <c r="P409" t="s">
        <v>59</v>
      </c>
      <c r="Q409" t="s">
        <v>216</v>
      </c>
      <c r="R409" t="s">
        <v>886</v>
      </c>
      <c r="S409" s="1">
        <v>44414</v>
      </c>
      <c r="T409" s="1">
        <v>44414</v>
      </c>
      <c r="U409">
        <v>37501</v>
      </c>
      <c r="V409" t="s">
        <v>61</v>
      </c>
      <c r="W409" t="s">
        <v>887</v>
      </c>
      <c r="X409" s="1">
        <v>44419</v>
      </c>
      <c r="Y409" t="s">
        <v>207</v>
      </c>
      <c r="Z409">
        <v>37.72</v>
      </c>
      <c r="AA409">
        <v>16</v>
      </c>
      <c r="AB409">
        <v>1.78</v>
      </c>
      <c r="AC409">
        <v>0</v>
      </c>
      <c r="AD409">
        <v>39.5</v>
      </c>
      <c r="AE409">
        <v>545</v>
      </c>
      <c r="AF409">
        <v>545</v>
      </c>
      <c r="AG409" t="s">
        <v>888</v>
      </c>
      <c r="AH409" t="s">
        <v>65</v>
      </c>
      <c r="AI409" t="s">
        <v>65</v>
      </c>
      <c r="AJ409" t="s">
        <v>66</v>
      </c>
      <c r="AK409" t="s">
        <v>66</v>
      </c>
      <c r="AL409" t="s">
        <v>66</v>
      </c>
      <c r="AM409" s="2" t="str">
        <f>HYPERLINK("https://transparencia.cidesi.mx/comprobantes/2021/CQ2100630 /C1340293627_CCO8605231N4.pdf")</f>
        <v>https://transparencia.cidesi.mx/comprobantes/2021/CQ2100630 /C1340293627_CCO8605231N4.pdf</v>
      </c>
      <c r="AN409" t="str">
        <f>HYPERLINK("https://transparencia.cidesi.mx/comprobantes/2021/CQ2100630 /C1340293627_CCO8605231N4.pdf")</f>
        <v>https://transparencia.cidesi.mx/comprobantes/2021/CQ2100630 /C1340293627_CCO8605231N4.pdf</v>
      </c>
      <c r="AO409" t="str">
        <f>HYPERLINK("https://transparencia.cidesi.mx/comprobantes/2021/CQ2100630 /C1340293627_CCO8605231N4.xml")</f>
        <v>https://transparencia.cidesi.mx/comprobantes/2021/CQ2100630 /C1340293627_CCO8605231N4.xml</v>
      </c>
      <c r="AP409" t="s">
        <v>889</v>
      </c>
      <c r="AQ409" t="s">
        <v>890</v>
      </c>
      <c r="AR409" t="s">
        <v>891</v>
      </c>
      <c r="AS409" t="s">
        <v>892</v>
      </c>
      <c r="AT409" s="1">
        <v>44420</v>
      </c>
      <c r="AU409" t="s">
        <v>73</v>
      </c>
    </row>
    <row r="410" spans="1:47" x14ac:dyDescent="0.3">
      <c r="A410" t="s">
        <v>881</v>
      </c>
      <c r="B410" t="s">
        <v>224</v>
      </c>
      <c r="C410" t="s">
        <v>225</v>
      </c>
      <c r="D410">
        <v>608</v>
      </c>
      <c r="E410" t="s">
        <v>882</v>
      </c>
      <c r="F410" t="s">
        <v>883</v>
      </c>
      <c r="G410" t="s">
        <v>884</v>
      </c>
      <c r="H410" t="s">
        <v>885</v>
      </c>
      <c r="I410" t="s">
        <v>54</v>
      </c>
      <c r="J410" t="s">
        <v>886</v>
      </c>
      <c r="K410" t="s">
        <v>56</v>
      </c>
      <c r="L410">
        <v>0</v>
      </c>
      <c r="M410" t="s">
        <v>73</v>
      </c>
      <c r="N410">
        <v>0</v>
      </c>
      <c r="O410" t="s">
        <v>58</v>
      </c>
      <c r="P410" t="s">
        <v>59</v>
      </c>
      <c r="Q410" t="s">
        <v>216</v>
      </c>
      <c r="R410" t="s">
        <v>886</v>
      </c>
      <c r="S410" s="1">
        <v>44414</v>
      </c>
      <c r="T410" s="1">
        <v>44414</v>
      </c>
      <c r="U410">
        <v>37501</v>
      </c>
      <c r="V410" t="s">
        <v>61</v>
      </c>
      <c r="W410" t="s">
        <v>887</v>
      </c>
      <c r="X410" s="1">
        <v>44419</v>
      </c>
      <c r="Y410" t="s">
        <v>207</v>
      </c>
      <c r="Z410">
        <v>405.18</v>
      </c>
      <c r="AA410">
        <v>16</v>
      </c>
      <c r="AB410">
        <v>35.5</v>
      </c>
      <c r="AC410">
        <v>64.819999999999993</v>
      </c>
      <c r="AD410">
        <v>505.5</v>
      </c>
      <c r="AE410">
        <v>545</v>
      </c>
      <c r="AF410">
        <v>545</v>
      </c>
      <c r="AG410" t="s">
        <v>888</v>
      </c>
      <c r="AH410" t="s">
        <v>65</v>
      </c>
      <c r="AI410" t="s">
        <v>65</v>
      </c>
      <c r="AJ410" t="s">
        <v>66</v>
      </c>
      <c r="AK410" t="s">
        <v>66</v>
      </c>
      <c r="AL410" t="s">
        <v>66</v>
      </c>
      <c r="AM410" s="2" t="str">
        <f>HYPERLINK("https://transparencia.cidesi.mx/comprobantes/2021/CQ2100630 /C2F-37533_CMN1405161T5.pdf")</f>
        <v>https://transparencia.cidesi.mx/comprobantes/2021/CQ2100630 /C2F-37533_CMN1405161T5.pdf</v>
      </c>
      <c r="AN410" t="str">
        <f>HYPERLINK("https://transparencia.cidesi.mx/comprobantes/2021/CQ2100630 /C2F-37533_CMN1405161T5.pdf")</f>
        <v>https://transparencia.cidesi.mx/comprobantes/2021/CQ2100630 /C2F-37533_CMN1405161T5.pdf</v>
      </c>
      <c r="AO410" t="str">
        <f>HYPERLINK("https://transparencia.cidesi.mx/comprobantes/2021/CQ2100630 /C2F-37533_CMN1405161T5.xml")</f>
        <v>https://transparencia.cidesi.mx/comprobantes/2021/CQ2100630 /C2F-37533_CMN1405161T5.xml</v>
      </c>
      <c r="AP410" t="s">
        <v>889</v>
      </c>
      <c r="AQ410" t="s">
        <v>890</v>
      </c>
      <c r="AR410" t="s">
        <v>891</v>
      </c>
      <c r="AS410" t="s">
        <v>892</v>
      </c>
      <c r="AT410" s="1">
        <v>44420</v>
      </c>
      <c r="AU410" t="s">
        <v>73</v>
      </c>
    </row>
    <row r="411" spans="1:47" x14ac:dyDescent="0.3">
      <c r="A411" t="s">
        <v>47</v>
      </c>
      <c r="B411" t="s">
        <v>224</v>
      </c>
      <c r="C411" t="s">
        <v>225</v>
      </c>
      <c r="D411">
        <v>609</v>
      </c>
      <c r="E411" t="s">
        <v>893</v>
      </c>
      <c r="F411" t="s">
        <v>248</v>
      </c>
      <c r="G411" t="s">
        <v>692</v>
      </c>
      <c r="H411" t="s">
        <v>894</v>
      </c>
      <c r="I411" t="s">
        <v>54</v>
      </c>
      <c r="J411" t="s">
        <v>895</v>
      </c>
      <c r="K411" t="s">
        <v>56</v>
      </c>
      <c r="L411">
        <v>0</v>
      </c>
      <c r="M411" t="s">
        <v>73</v>
      </c>
      <c r="N411">
        <v>0</v>
      </c>
      <c r="O411" t="s">
        <v>58</v>
      </c>
      <c r="P411" t="s">
        <v>59</v>
      </c>
      <c r="Q411" t="s">
        <v>252</v>
      </c>
      <c r="R411" t="s">
        <v>895</v>
      </c>
      <c r="S411" s="1">
        <v>44448</v>
      </c>
      <c r="T411" s="1">
        <v>44448</v>
      </c>
      <c r="U411">
        <v>37501</v>
      </c>
      <c r="V411" t="s">
        <v>61</v>
      </c>
      <c r="W411" t="s">
        <v>896</v>
      </c>
      <c r="X411" s="1">
        <v>44449</v>
      </c>
      <c r="Y411" t="s">
        <v>63</v>
      </c>
      <c r="Z411">
        <v>350</v>
      </c>
      <c r="AA411">
        <v>16</v>
      </c>
      <c r="AB411">
        <v>40</v>
      </c>
      <c r="AC411">
        <v>40</v>
      </c>
      <c r="AD411">
        <v>430</v>
      </c>
      <c r="AE411">
        <v>430</v>
      </c>
      <c r="AF411">
        <v>545</v>
      </c>
      <c r="AG411" t="s">
        <v>897</v>
      </c>
      <c r="AH411" t="s">
        <v>65</v>
      </c>
      <c r="AI411" t="s">
        <v>65</v>
      </c>
      <c r="AJ411" t="s">
        <v>66</v>
      </c>
      <c r="AK411" t="s">
        <v>66</v>
      </c>
      <c r="AL411" t="s">
        <v>66</v>
      </c>
      <c r="AM411" s="2" t="str">
        <f>HYPERLINK("https://transparencia.cidesi.mx/comprobantes/2021/CQ2100775 /C1F6359_GBA130705IC0.pdf")</f>
        <v>https://transparencia.cidesi.mx/comprobantes/2021/CQ2100775 /C1F6359_GBA130705IC0.pdf</v>
      </c>
      <c r="AN411" t="str">
        <f>HYPERLINK("https://transparencia.cidesi.mx/comprobantes/2021/CQ2100775 /C1F6359_GBA130705IC0.pdf")</f>
        <v>https://transparencia.cidesi.mx/comprobantes/2021/CQ2100775 /C1F6359_GBA130705IC0.pdf</v>
      </c>
      <c r="AO411" t="str">
        <f>HYPERLINK("https://transparencia.cidesi.mx/comprobantes/2021/CQ2100775 /C1F6359_GBA130705IC0.xml")</f>
        <v>https://transparencia.cidesi.mx/comprobantes/2021/CQ2100775 /C1F6359_GBA130705IC0.xml</v>
      </c>
      <c r="AP411" t="s">
        <v>898</v>
      </c>
      <c r="AQ411" t="s">
        <v>899</v>
      </c>
      <c r="AR411" t="s">
        <v>900</v>
      </c>
      <c r="AS411" t="s">
        <v>901</v>
      </c>
      <c r="AT411" s="1">
        <v>44452</v>
      </c>
      <c r="AU411" s="1">
        <v>44453</v>
      </c>
    </row>
    <row r="412" spans="1:47" x14ac:dyDescent="0.3">
      <c r="A412" t="s">
        <v>47</v>
      </c>
      <c r="B412" t="s">
        <v>224</v>
      </c>
      <c r="C412" t="s">
        <v>225</v>
      </c>
      <c r="D412">
        <v>609</v>
      </c>
      <c r="E412" t="s">
        <v>893</v>
      </c>
      <c r="F412" t="s">
        <v>248</v>
      </c>
      <c r="G412" t="s">
        <v>692</v>
      </c>
      <c r="H412" t="s">
        <v>902</v>
      </c>
      <c r="I412" t="s">
        <v>54</v>
      </c>
      <c r="J412" t="s">
        <v>903</v>
      </c>
      <c r="K412" t="s">
        <v>56</v>
      </c>
      <c r="L412">
        <v>139</v>
      </c>
      <c r="M412" t="s">
        <v>904</v>
      </c>
      <c r="N412">
        <v>0</v>
      </c>
      <c r="O412" t="s">
        <v>58</v>
      </c>
      <c r="P412" t="s">
        <v>59</v>
      </c>
      <c r="Q412" t="s">
        <v>60</v>
      </c>
      <c r="R412" t="s">
        <v>903</v>
      </c>
      <c r="S412" s="1">
        <v>44466</v>
      </c>
      <c r="T412" s="1">
        <v>44466</v>
      </c>
      <c r="U412">
        <v>37501</v>
      </c>
      <c r="V412" t="s">
        <v>61</v>
      </c>
      <c r="W412" t="s">
        <v>905</v>
      </c>
      <c r="X412" s="1">
        <v>44468</v>
      </c>
      <c r="Y412" t="s">
        <v>63</v>
      </c>
      <c r="Z412">
        <v>190.55</v>
      </c>
      <c r="AA412">
        <v>16</v>
      </c>
      <c r="AB412">
        <v>4.95</v>
      </c>
      <c r="AC412">
        <v>0</v>
      </c>
      <c r="AD412">
        <v>195.5</v>
      </c>
      <c r="AE412">
        <v>679.5</v>
      </c>
      <c r="AF412">
        <v>783</v>
      </c>
      <c r="AG412" t="s">
        <v>897</v>
      </c>
      <c r="AH412" t="s">
        <v>65</v>
      </c>
      <c r="AI412" t="s">
        <v>65</v>
      </c>
      <c r="AJ412" t="s">
        <v>66</v>
      </c>
      <c r="AK412" t="s">
        <v>66</v>
      </c>
      <c r="AL412" t="s">
        <v>66</v>
      </c>
      <c r="AM412" s="2" t="str">
        <f>HYPERLINK("https://transparencia.cidesi.mx/comprobantes/2021/CQ2100909 /C1G111T 15685_GOM140325ES7.pdf")</f>
        <v>https://transparencia.cidesi.mx/comprobantes/2021/CQ2100909 /C1G111T 15685_GOM140325ES7.pdf</v>
      </c>
      <c r="AN412" t="str">
        <f>HYPERLINK("https://transparencia.cidesi.mx/comprobantes/2021/CQ2100909 /C1G111T 15685_GOM140325ES7.pdf")</f>
        <v>https://transparencia.cidesi.mx/comprobantes/2021/CQ2100909 /C1G111T 15685_GOM140325ES7.pdf</v>
      </c>
      <c r="AO412" t="str">
        <f>HYPERLINK("https://transparencia.cidesi.mx/comprobantes/2021/CQ2100909 /C1G111T 15685_GOM140325ES7.xml")</f>
        <v>https://transparencia.cidesi.mx/comprobantes/2021/CQ2100909 /C1G111T 15685_GOM140325ES7.xml</v>
      </c>
      <c r="AP412" t="s">
        <v>906</v>
      </c>
      <c r="AQ412" t="s">
        <v>907</v>
      </c>
      <c r="AR412" t="s">
        <v>908</v>
      </c>
      <c r="AS412" t="s">
        <v>909</v>
      </c>
      <c r="AT412" s="1">
        <v>44468</v>
      </c>
      <c r="AU412" s="1">
        <v>44473</v>
      </c>
    </row>
    <row r="413" spans="1:47" x14ac:dyDescent="0.3">
      <c r="A413" t="s">
        <v>47</v>
      </c>
      <c r="B413" t="s">
        <v>224</v>
      </c>
      <c r="C413" t="s">
        <v>225</v>
      </c>
      <c r="D413">
        <v>609</v>
      </c>
      <c r="E413" t="s">
        <v>893</v>
      </c>
      <c r="F413" t="s">
        <v>248</v>
      </c>
      <c r="G413" t="s">
        <v>692</v>
      </c>
      <c r="H413" t="s">
        <v>902</v>
      </c>
      <c r="I413" t="s">
        <v>54</v>
      </c>
      <c r="J413" t="s">
        <v>903</v>
      </c>
      <c r="K413" t="s">
        <v>56</v>
      </c>
      <c r="L413">
        <v>139</v>
      </c>
      <c r="M413" t="s">
        <v>904</v>
      </c>
      <c r="N413">
        <v>0</v>
      </c>
      <c r="O413" t="s">
        <v>58</v>
      </c>
      <c r="P413" t="s">
        <v>59</v>
      </c>
      <c r="Q413" t="s">
        <v>60</v>
      </c>
      <c r="R413" t="s">
        <v>903</v>
      </c>
      <c r="S413" s="1">
        <v>44466</v>
      </c>
      <c r="T413" s="1">
        <v>44466</v>
      </c>
      <c r="U413">
        <v>37501</v>
      </c>
      <c r="V413" t="s">
        <v>61</v>
      </c>
      <c r="W413" t="s">
        <v>905</v>
      </c>
      <c r="X413" s="1">
        <v>44468</v>
      </c>
      <c r="Y413" t="s">
        <v>63</v>
      </c>
      <c r="Z413">
        <v>379.31</v>
      </c>
      <c r="AA413">
        <v>16</v>
      </c>
      <c r="AB413">
        <v>60.69</v>
      </c>
      <c r="AC413">
        <v>44</v>
      </c>
      <c r="AD413">
        <v>484</v>
      </c>
      <c r="AE413">
        <v>679.5</v>
      </c>
      <c r="AF413">
        <v>783</v>
      </c>
      <c r="AG413" t="s">
        <v>897</v>
      </c>
      <c r="AH413" t="s">
        <v>65</v>
      </c>
      <c r="AI413" t="s">
        <v>65</v>
      </c>
      <c r="AJ413" t="s">
        <v>66</v>
      </c>
      <c r="AK413" t="s">
        <v>66</v>
      </c>
      <c r="AL413" t="s">
        <v>66</v>
      </c>
      <c r="AM413" s="2" t="str">
        <f>HYPERLINK("https://transparencia.cidesi.mx/comprobantes/2021/CQ2100909 /C2A9299_GGA120503MQ8.pdf")</f>
        <v>https://transparencia.cidesi.mx/comprobantes/2021/CQ2100909 /C2A9299_GGA120503MQ8.pdf</v>
      </c>
      <c r="AN413" t="str">
        <f>HYPERLINK("https://transparencia.cidesi.mx/comprobantes/2021/CQ2100909 /C2A9299_GGA120503MQ8.pdf")</f>
        <v>https://transparencia.cidesi.mx/comprobantes/2021/CQ2100909 /C2A9299_GGA120503MQ8.pdf</v>
      </c>
      <c r="AO413" t="str">
        <f>HYPERLINK("https://transparencia.cidesi.mx/comprobantes/2021/CQ2100909 /C2A9299_GGA120503MQ8.xml")</f>
        <v>https://transparencia.cidesi.mx/comprobantes/2021/CQ2100909 /C2A9299_GGA120503MQ8.xml</v>
      </c>
      <c r="AP413" t="s">
        <v>906</v>
      </c>
      <c r="AQ413" t="s">
        <v>907</v>
      </c>
      <c r="AR413" t="s">
        <v>908</v>
      </c>
      <c r="AS413" t="s">
        <v>909</v>
      </c>
      <c r="AT413" s="1">
        <v>44468</v>
      </c>
      <c r="AU413" s="1">
        <v>44473</v>
      </c>
    </row>
    <row r="414" spans="1:47" x14ac:dyDescent="0.3">
      <c r="A414" t="s">
        <v>246</v>
      </c>
      <c r="B414" t="s">
        <v>182</v>
      </c>
      <c r="C414" t="s">
        <v>183</v>
      </c>
      <c r="D414">
        <v>636</v>
      </c>
      <c r="E414" t="s">
        <v>910</v>
      </c>
      <c r="F414" t="s">
        <v>911</v>
      </c>
      <c r="G414" t="s">
        <v>912</v>
      </c>
      <c r="H414" t="s">
        <v>913</v>
      </c>
      <c r="I414" t="s">
        <v>54</v>
      </c>
      <c r="J414" t="s">
        <v>914</v>
      </c>
      <c r="K414" t="s">
        <v>56</v>
      </c>
      <c r="L414">
        <v>0</v>
      </c>
      <c r="M414" t="s">
        <v>73</v>
      </c>
      <c r="N414">
        <v>0</v>
      </c>
      <c r="O414" t="s">
        <v>58</v>
      </c>
      <c r="P414" t="s">
        <v>59</v>
      </c>
      <c r="Q414" t="s">
        <v>252</v>
      </c>
      <c r="R414" t="s">
        <v>914</v>
      </c>
      <c r="S414" s="1">
        <v>44379</v>
      </c>
      <c r="T414" s="1">
        <v>44379</v>
      </c>
      <c r="U414">
        <v>37501</v>
      </c>
      <c r="V414" t="s">
        <v>61</v>
      </c>
      <c r="W414" t="s">
        <v>915</v>
      </c>
      <c r="X414" s="1">
        <v>44383</v>
      </c>
      <c r="Y414" t="s">
        <v>63</v>
      </c>
      <c r="Z414">
        <v>116.38</v>
      </c>
      <c r="AA414">
        <v>16</v>
      </c>
      <c r="AB414">
        <v>18.62</v>
      </c>
      <c r="AC414">
        <v>0</v>
      </c>
      <c r="AD414">
        <v>135</v>
      </c>
      <c r="AE414">
        <v>487</v>
      </c>
      <c r="AF414">
        <v>545</v>
      </c>
      <c r="AG414" t="s">
        <v>916</v>
      </c>
      <c r="AH414" t="s">
        <v>65</v>
      </c>
      <c r="AI414" t="s">
        <v>65</v>
      </c>
      <c r="AJ414" t="s">
        <v>66</v>
      </c>
      <c r="AK414" t="s">
        <v>66</v>
      </c>
      <c r="AL414" t="s">
        <v>66</v>
      </c>
      <c r="AM414" s="2" t="str">
        <f>HYPERLINK("https://transparencia.cidesi.mx/comprobantes/2021/CQ2100469 /C1CID840309UG7_F_0000032597.pdf")</f>
        <v>https://transparencia.cidesi.mx/comprobantes/2021/CQ2100469 /C1CID840309UG7_F_0000032597.pdf</v>
      </c>
      <c r="AN414" t="str">
        <f>HYPERLINK("https://transparencia.cidesi.mx/comprobantes/2021/CQ2100469 /C1CID840309UG7_F_0000032597.pdf")</f>
        <v>https://transparencia.cidesi.mx/comprobantes/2021/CQ2100469 /C1CID840309UG7_F_0000032597.pdf</v>
      </c>
      <c r="AO414" t="str">
        <f>HYPERLINK("https://transparencia.cidesi.mx/comprobantes/2021/CQ2100469 /C1CID840309UG7_F_0000032597.xml")</f>
        <v>https://transparencia.cidesi.mx/comprobantes/2021/CQ2100469 /C1CID840309UG7_F_0000032597.xml</v>
      </c>
      <c r="AP414" t="s">
        <v>917</v>
      </c>
      <c r="AQ414" t="s">
        <v>918</v>
      </c>
      <c r="AR414" t="s">
        <v>919</v>
      </c>
      <c r="AS414" t="s">
        <v>920</v>
      </c>
      <c r="AT414" s="1">
        <v>44384</v>
      </c>
      <c r="AU414" s="1">
        <v>44396</v>
      </c>
    </row>
    <row r="415" spans="1:47" x14ac:dyDescent="0.3">
      <c r="A415" t="s">
        <v>246</v>
      </c>
      <c r="B415" t="s">
        <v>182</v>
      </c>
      <c r="C415" t="s">
        <v>183</v>
      </c>
      <c r="D415">
        <v>636</v>
      </c>
      <c r="E415" t="s">
        <v>910</v>
      </c>
      <c r="F415" t="s">
        <v>911</v>
      </c>
      <c r="G415" t="s">
        <v>912</v>
      </c>
      <c r="H415" t="s">
        <v>913</v>
      </c>
      <c r="I415" t="s">
        <v>54</v>
      </c>
      <c r="J415" t="s">
        <v>914</v>
      </c>
      <c r="K415" t="s">
        <v>56</v>
      </c>
      <c r="L415">
        <v>0</v>
      </c>
      <c r="M415" t="s">
        <v>73</v>
      </c>
      <c r="N415">
        <v>0</v>
      </c>
      <c r="O415" t="s">
        <v>58</v>
      </c>
      <c r="P415" t="s">
        <v>59</v>
      </c>
      <c r="Q415" t="s">
        <v>252</v>
      </c>
      <c r="R415" t="s">
        <v>914</v>
      </c>
      <c r="S415" s="1">
        <v>44379</v>
      </c>
      <c r="T415" s="1">
        <v>44379</v>
      </c>
      <c r="U415">
        <v>37501</v>
      </c>
      <c r="V415" t="s">
        <v>61</v>
      </c>
      <c r="W415" t="s">
        <v>915</v>
      </c>
      <c r="X415" s="1">
        <v>44383</v>
      </c>
      <c r="Y415" t="s">
        <v>63</v>
      </c>
      <c r="Z415">
        <v>352</v>
      </c>
      <c r="AA415">
        <v>0</v>
      </c>
      <c r="AB415">
        <v>0</v>
      </c>
      <c r="AC415">
        <v>0</v>
      </c>
      <c r="AD415">
        <v>352</v>
      </c>
      <c r="AE415">
        <v>487</v>
      </c>
      <c r="AF415">
        <v>545</v>
      </c>
      <c r="AG415" t="s">
        <v>916</v>
      </c>
      <c r="AH415" t="s">
        <v>65</v>
      </c>
      <c r="AI415" t="s">
        <v>66</v>
      </c>
      <c r="AJ415" t="s">
        <v>66</v>
      </c>
      <c r="AK415" t="s">
        <v>66</v>
      </c>
      <c r="AL415" t="s">
        <v>66</v>
      </c>
      <c r="AM415" s="2" t="s">
        <v>73</v>
      </c>
      <c r="AN415" t="s">
        <v>73</v>
      </c>
      <c r="AO415" t="s">
        <v>73</v>
      </c>
      <c r="AP415" t="s">
        <v>917</v>
      </c>
      <c r="AQ415" t="s">
        <v>918</v>
      </c>
      <c r="AR415" t="s">
        <v>919</v>
      </c>
      <c r="AS415" t="s">
        <v>920</v>
      </c>
      <c r="AT415" s="1">
        <v>44384</v>
      </c>
      <c r="AU415" s="1">
        <v>44396</v>
      </c>
    </row>
    <row r="416" spans="1:47" x14ac:dyDescent="0.3">
      <c r="A416" t="s">
        <v>246</v>
      </c>
      <c r="B416" t="s">
        <v>182</v>
      </c>
      <c r="C416" t="s">
        <v>183</v>
      </c>
      <c r="D416">
        <v>636</v>
      </c>
      <c r="E416" t="s">
        <v>910</v>
      </c>
      <c r="F416" t="s">
        <v>911</v>
      </c>
      <c r="G416" t="s">
        <v>912</v>
      </c>
      <c r="H416" t="s">
        <v>921</v>
      </c>
      <c r="I416" t="s">
        <v>54</v>
      </c>
      <c r="J416" t="s">
        <v>922</v>
      </c>
      <c r="K416" t="s">
        <v>56</v>
      </c>
      <c r="L416">
        <v>0</v>
      </c>
      <c r="M416" t="s">
        <v>73</v>
      </c>
      <c r="N416">
        <v>0</v>
      </c>
      <c r="O416" t="s">
        <v>58</v>
      </c>
      <c r="P416" t="s">
        <v>59</v>
      </c>
      <c r="Q416" t="s">
        <v>378</v>
      </c>
      <c r="R416" t="s">
        <v>922</v>
      </c>
      <c r="S416" s="1">
        <v>44383</v>
      </c>
      <c r="T416" s="1">
        <v>44383</v>
      </c>
      <c r="U416">
        <v>37501</v>
      </c>
      <c r="V416" t="s">
        <v>61</v>
      </c>
      <c r="W416" t="s">
        <v>923</v>
      </c>
      <c r="X416" s="1">
        <v>44383</v>
      </c>
      <c r="Y416" t="s">
        <v>63</v>
      </c>
      <c r="Z416">
        <v>170.63</v>
      </c>
      <c r="AA416">
        <v>16</v>
      </c>
      <c r="AB416">
        <v>8.9600000000000009</v>
      </c>
      <c r="AC416">
        <v>7.41</v>
      </c>
      <c r="AD416">
        <v>187</v>
      </c>
      <c r="AE416">
        <v>352</v>
      </c>
      <c r="AF416">
        <v>545</v>
      </c>
      <c r="AG416" t="s">
        <v>916</v>
      </c>
      <c r="AH416" t="s">
        <v>65</v>
      </c>
      <c r="AI416" t="s">
        <v>65</v>
      </c>
      <c r="AJ416" t="s">
        <v>66</v>
      </c>
      <c r="AK416" t="s">
        <v>66</v>
      </c>
      <c r="AL416" t="s">
        <v>66</v>
      </c>
      <c r="AM416" s="2" t="str">
        <f>HYPERLINK("https://transparencia.cidesi.mx/comprobantes/2021/CQ2100470 /C1NCO080625228_Factura_PAZ14714_20210706.pdf")</f>
        <v>https://transparencia.cidesi.mx/comprobantes/2021/CQ2100470 /C1NCO080625228_Factura_PAZ14714_20210706.pdf</v>
      </c>
      <c r="AN416" t="str">
        <f>HYPERLINK("https://transparencia.cidesi.mx/comprobantes/2021/CQ2100470 /C1NCO080625228_Factura_PAZ14714_20210706.pdf")</f>
        <v>https://transparencia.cidesi.mx/comprobantes/2021/CQ2100470 /C1NCO080625228_Factura_PAZ14714_20210706.pdf</v>
      </c>
      <c r="AO416" t="str">
        <f>HYPERLINK("https://transparencia.cidesi.mx/comprobantes/2021/CQ2100470 /C1NCO080625228_Factura_PAZ14714_20210706.xml")</f>
        <v>https://transparencia.cidesi.mx/comprobantes/2021/CQ2100470 /C1NCO080625228_Factura_PAZ14714_20210706.xml</v>
      </c>
      <c r="AP416" t="s">
        <v>924</v>
      </c>
      <c r="AQ416" t="s">
        <v>925</v>
      </c>
      <c r="AR416" t="s">
        <v>926</v>
      </c>
      <c r="AS416" t="s">
        <v>927</v>
      </c>
      <c r="AT416" s="1">
        <v>44384</v>
      </c>
      <c r="AU416" s="1">
        <v>44389</v>
      </c>
    </row>
    <row r="417" spans="1:47" x14ac:dyDescent="0.3">
      <c r="A417" t="s">
        <v>246</v>
      </c>
      <c r="B417" t="s">
        <v>182</v>
      </c>
      <c r="C417" t="s">
        <v>183</v>
      </c>
      <c r="D417">
        <v>636</v>
      </c>
      <c r="E417" t="s">
        <v>910</v>
      </c>
      <c r="F417" t="s">
        <v>911</v>
      </c>
      <c r="G417" t="s">
        <v>912</v>
      </c>
      <c r="H417" t="s">
        <v>921</v>
      </c>
      <c r="I417" t="s">
        <v>54</v>
      </c>
      <c r="J417" t="s">
        <v>922</v>
      </c>
      <c r="K417" t="s">
        <v>56</v>
      </c>
      <c r="L417">
        <v>0</v>
      </c>
      <c r="M417" t="s">
        <v>73</v>
      </c>
      <c r="N417">
        <v>0</v>
      </c>
      <c r="O417" t="s">
        <v>58</v>
      </c>
      <c r="P417" t="s">
        <v>59</v>
      </c>
      <c r="Q417" t="s">
        <v>378</v>
      </c>
      <c r="R417" t="s">
        <v>922</v>
      </c>
      <c r="S417" s="1">
        <v>44383</v>
      </c>
      <c r="T417" s="1">
        <v>44383</v>
      </c>
      <c r="U417">
        <v>37501</v>
      </c>
      <c r="V417" t="s">
        <v>61</v>
      </c>
      <c r="W417" t="s">
        <v>923</v>
      </c>
      <c r="X417" s="1">
        <v>44383</v>
      </c>
      <c r="Y417" t="s">
        <v>63</v>
      </c>
      <c r="Z417">
        <v>77.59</v>
      </c>
      <c r="AA417">
        <v>16</v>
      </c>
      <c r="AB417">
        <v>12.41</v>
      </c>
      <c r="AC417">
        <v>0</v>
      </c>
      <c r="AD417">
        <v>90</v>
      </c>
      <c r="AE417">
        <v>352</v>
      </c>
      <c r="AF417">
        <v>545</v>
      </c>
      <c r="AG417" t="s">
        <v>916</v>
      </c>
      <c r="AH417" t="s">
        <v>65</v>
      </c>
      <c r="AI417" t="s">
        <v>65</v>
      </c>
      <c r="AJ417" t="s">
        <v>66</v>
      </c>
      <c r="AK417" t="s">
        <v>66</v>
      </c>
      <c r="AL417" t="s">
        <v>66</v>
      </c>
      <c r="AM417" s="2" t="str">
        <f>HYPERLINK("https://transparencia.cidesi.mx/comprobantes/2021/CQ2100470 /C29209E4A6-E696-4F6E-A5F0-DBCC38D1A241.pdf")</f>
        <v>https://transparencia.cidesi.mx/comprobantes/2021/CQ2100470 /C29209E4A6-E696-4F6E-A5F0-DBCC38D1A241.pdf</v>
      </c>
      <c r="AN417" t="str">
        <f>HYPERLINK("https://transparencia.cidesi.mx/comprobantes/2021/CQ2100470 /C29209E4A6-E696-4F6E-A5F0-DBCC38D1A241.pdf")</f>
        <v>https://transparencia.cidesi.mx/comprobantes/2021/CQ2100470 /C29209E4A6-E696-4F6E-A5F0-DBCC38D1A241.pdf</v>
      </c>
      <c r="AO417" t="str">
        <f>HYPERLINK("https://transparencia.cidesi.mx/comprobantes/2021/CQ2100470 /C29209E4A6-E696-4F6E-A5F0-DBCC38D1A241.xml")</f>
        <v>https://transparencia.cidesi.mx/comprobantes/2021/CQ2100470 /C29209E4A6-E696-4F6E-A5F0-DBCC38D1A241.xml</v>
      </c>
      <c r="AP417" t="s">
        <v>924</v>
      </c>
      <c r="AQ417" t="s">
        <v>925</v>
      </c>
      <c r="AR417" t="s">
        <v>926</v>
      </c>
      <c r="AS417" t="s">
        <v>927</v>
      </c>
      <c r="AT417" s="1">
        <v>44384</v>
      </c>
      <c r="AU417" s="1">
        <v>44389</v>
      </c>
    </row>
    <row r="418" spans="1:47" x14ac:dyDescent="0.3">
      <c r="A418" t="s">
        <v>246</v>
      </c>
      <c r="B418" t="s">
        <v>182</v>
      </c>
      <c r="C418" t="s">
        <v>183</v>
      </c>
      <c r="D418">
        <v>636</v>
      </c>
      <c r="E418" t="s">
        <v>910</v>
      </c>
      <c r="F418" t="s">
        <v>911</v>
      </c>
      <c r="G418" t="s">
        <v>912</v>
      </c>
      <c r="H418" t="s">
        <v>921</v>
      </c>
      <c r="I418" t="s">
        <v>54</v>
      </c>
      <c r="J418" t="s">
        <v>922</v>
      </c>
      <c r="K418" t="s">
        <v>56</v>
      </c>
      <c r="L418">
        <v>0</v>
      </c>
      <c r="M418" t="s">
        <v>73</v>
      </c>
      <c r="N418">
        <v>0</v>
      </c>
      <c r="O418" t="s">
        <v>58</v>
      </c>
      <c r="P418" t="s">
        <v>59</v>
      </c>
      <c r="Q418" t="s">
        <v>378</v>
      </c>
      <c r="R418" t="s">
        <v>922</v>
      </c>
      <c r="S418" s="1">
        <v>44383</v>
      </c>
      <c r="T418" s="1">
        <v>44383</v>
      </c>
      <c r="U418">
        <v>37501</v>
      </c>
      <c r="V418" t="s">
        <v>61</v>
      </c>
      <c r="W418" t="s">
        <v>923</v>
      </c>
      <c r="X418" s="1">
        <v>44383</v>
      </c>
      <c r="Y418" t="s">
        <v>63</v>
      </c>
      <c r="Z418">
        <v>66.81</v>
      </c>
      <c r="AA418">
        <v>16</v>
      </c>
      <c r="AB418">
        <v>7.45</v>
      </c>
      <c r="AC418">
        <v>0.74</v>
      </c>
      <c r="AD418">
        <v>75</v>
      </c>
      <c r="AE418">
        <v>352</v>
      </c>
      <c r="AF418">
        <v>545</v>
      </c>
      <c r="AG418" t="s">
        <v>916</v>
      </c>
      <c r="AH418" t="s">
        <v>65</v>
      </c>
      <c r="AI418" t="s">
        <v>65</v>
      </c>
      <c r="AJ418" t="s">
        <v>66</v>
      </c>
      <c r="AK418" t="s">
        <v>66</v>
      </c>
      <c r="AL418" t="s">
        <v>66</v>
      </c>
      <c r="AM418" s="2" t="str">
        <f>HYPERLINK("https://transparencia.cidesi.mx/comprobantes/2021/CQ2100470 /C3NOV1609299TA_Factura_LH8095_20210706.pdf")</f>
        <v>https://transparencia.cidesi.mx/comprobantes/2021/CQ2100470 /C3NOV1609299TA_Factura_LH8095_20210706.pdf</v>
      </c>
      <c r="AN418" t="str">
        <f>HYPERLINK("https://transparencia.cidesi.mx/comprobantes/2021/CQ2100470 /C3NOV1609299TA_Factura_LH8095_20210706.pdf")</f>
        <v>https://transparencia.cidesi.mx/comprobantes/2021/CQ2100470 /C3NOV1609299TA_Factura_LH8095_20210706.pdf</v>
      </c>
      <c r="AO418" t="str">
        <f>HYPERLINK("https://transparencia.cidesi.mx/comprobantes/2021/CQ2100470 /C3NOV1609299TA_Factura_LH8095_20210706.xml")</f>
        <v>https://transparencia.cidesi.mx/comprobantes/2021/CQ2100470 /C3NOV1609299TA_Factura_LH8095_20210706.xml</v>
      </c>
      <c r="AP418" t="s">
        <v>924</v>
      </c>
      <c r="AQ418" t="s">
        <v>925</v>
      </c>
      <c r="AR418" t="s">
        <v>926</v>
      </c>
      <c r="AS418" t="s">
        <v>927</v>
      </c>
      <c r="AT418" s="1">
        <v>44384</v>
      </c>
      <c r="AU418" s="1">
        <v>44389</v>
      </c>
    </row>
    <row r="419" spans="1:47" x14ac:dyDescent="0.3">
      <c r="A419" t="s">
        <v>246</v>
      </c>
      <c r="B419" t="s">
        <v>182</v>
      </c>
      <c r="C419" t="s">
        <v>183</v>
      </c>
      <c r="D419">
        <v>636</v>
      </c>
      <c r="E419" t="s">
        <v>910</v>
      </c>
      <c r="F419" t="s">
        <v>911</v>
      </c>
      <c r="G419" t="s">
        <v>912</v>
      </c>
      <c r="H419" t="s">
        <v>928</v>
      </c>
      <c r="I419" t="s">
        <v>54</v>
      </c>
      <c r="J419" t="s">
        <v>929</v>
      </c>
      <c r="K419" t="s">
        <v>56</v>
      </c>
      <c r="L419">
        <v>0</v>
      </c>
      <c r="M419" t="s">
        <v>73</v>
      </c>
      <c r="N419">
        <v>0</v>
      </c>
      <c r="O419" t="s">
        <v>58</v>
      </c>
      <c r="P419" t="s">
        <v>59</v>
      </c>
      <c r="Q419" t="s">
        <v>378</v>
      </c>
      <c r="R419" t="s">
        <v>929</v>
      </c>
      <c r="S419" s="1">
        <v>44385</v>
      </c>
      <c r="T419" s="1">
        <v>44385</v>
      </c>
      <c r="U419">
        <v>37501</v>
      </c>
      <c r="V419" t="s">
        <v>61</v>
      </c>
      <c r="W419" t="s">
        <v>930</v>
      </c>
      <c r="X419" s="1">
        <v>44385</v>
      </c>
      <c r="Y419" t="s">
        <v>100</v>
      </c>
      <c r="Z419">
        <v>188.79</v>
      </c>
      <c r="AA419">
        <v>16</v>
      </c>
      <c r="AB419">
        <v>30.21</v>
      </c>
      <c r="AC419">
        <v>0</v>
      </c>
      <c r="AD419">
        <v>219</v>
      </c>
      <c r="AE419">
        <v>444.01</v>
      </c>
      <c r="AF419">
        <v>545</v>
      </c>
      <c r="AG419" t="s">
        <v>916</v>
      </c>
      <c r="AH419" t="s">
        <v>65</v>
      </c>
      <c r="AI419" t="s">
        <v>65</v>
      </c>
      <c r="AJ419" t="s">
        <v>66</v>
      </c>
      <c r="AK419" t="s">
        <v>66</v>
      </c>
      <c r="AL419" t="s">
        <v>66</v>
      </c>
      <c r="AM419" s="2" t="str">
        <f>HYPERLINK("https://transparencia.cidesi.mx/comprobantes/2021/CQ2100496 /C1FacturaFRP-174694.pdf")</f>
        <v>https://transparencia.cidesi.mx/comprobantes/2021/CQ2100496 /C1FacturaFRP-174694.pdf</v>
      </c>
      <c r="AN419" t="str">
        <f>HYPERLINK("https://transparencia.cidesi.mx/comprobantes/2021/CQ2100496 /C1FacturaFRP-174694.pdf")</f>
        <v>https://transparencia.cidesi.mx/comprobantes/2021/CQ2100496 /C1FacturaFRP-174694.pdf</v>
      </c>
      <c r="AO419" t="str">
        <f>HYPERLINK("https://transparencia.cidesi.mx/comprobantes/2021/CQ2100496 /C1FacturaFRP-174694.xml")</f>
        <v>https://transparencia.cidesi.mx/comprobantes/2021/CQ2100496 /C1FacturaFRP-174694.xml</v>
      </c>
      <c r="AP419" t="s">
        <v>931</v>
      </c>
      <c r="AQ419" t="s">
        <v>932</v>
      </c>
      <c r="AR419" t="s">
        <v>933</v>
      </c>
      <c r="AS419" t="s">
        <v>934</v>
      </c>
      <c r="AT419" s="1">
        <v>44389</v>
      </c>
      <c r="AU419" t="s">
        <v>73</v>
      </c>
    </row>
    <row r="420" spans="1:47" x14ac:dyDescent="0.3">
      <c r="A420" t="s">
        <v>246</v>
      </c>
      <c r="B420" t="s">
        <v>182</v>
      </c>
      <c r="C420" t="s">
        <v>183</v>
      </c>
      <c r="D420">
        <v>636</v>
      </c>
      <c r="E420" t="s">
        <v>910</v>
      </c>
      <c r="F420" t="s">
        <v>911</v>
      </c>
      <c r="G420" t="s">
        <v>912</v>
      </c>
      <c r="H420" t="s">
        <v>928</v>
      </c>
      <c r="I420" t="s">
        <v>54</v>
      </c>
      <c r="J420" t="s">
        <v>929</v>
      </c>
      <c r="K420" t="s">
        <v>56</v>
      </c>
      <c r="L420">
        <v>0</v>
      </c>
      <c r="M420" t="s">
        <v>73</v>
      </c>
      <c r="N420">
        <v>0</v>
      </c>
      <c r="O420" t="s">
        <v>58</v>
      </c>
      <c r="P420" t="s">
        <v>59</v>
      </c>
      <c r="Q420" t="s">
        <v>378</v>
      </c>
      <c r="R420" t="s">
        <v>929</v>
      </c>
      <c r="S420" s="1">
        <v>44385</v>
      </c>
      <c r="T420" s="1">
        <v>44385</v>
      </c>
      <c r="U420">
        <v>37501</v>
      </c>
      <c r="V420" t="s">
        <v>61</v>
      </c>
      <c r="W420" t="s">
        <v>930</v>
      </c>
      <c r="X420" s="1">
        <v>44385</v>
      </c>
      <c r="Y420" t="s">
        <v>100</v>
      </c>
      <c r="Z420">
        <v>193.97</v>
      </c>
      <c r="AA420">
        <v>16</v>
      </c>
      <c r="AB420">
        <v>31.04</v>
      </c>
      <c r="AC420">
        <v>0</v>
      </c>
      <c r="AD420">
        <v>225.01</v>
      </c>
      <c r="AE420">
        <v>444.01</v>
      </c>
      <c r="AF420">
        <v>545</v>
      </c>
      <c r="AG420" t="s">
        <v>916</v>
      </c>
      <c r="AH420" t="s">
        <v>65</v>
      </c>
      <c r="AI420" t="s">
        <v>65</v>
      </c>
      <c r="AJ420" t="s">
        <v>66</v>
      </c>
      <c r="AK420" t="s">
        <v>66</v>
      </c>
      <c r="AL420" t="s">
        <v>66</v>
      </c>
      <c r="AM420" s="2" t="str">
        <f>HYPERLINK("https://transparencia.cidesi.mx/comprobantes/2021/CQ2100496 /C2FRE0000010029.pdf")</f>
        <v>https://transparencia.cidesi.mx/comprobantes/2021/CQ2100496 /C2FRE0000010029.pdf</v>
      </c>
      <c r="AN420" t="str">
        <f>HYPERLINK("https://transparencia.cidesi.mx/comprobantes/2021/CQ2100496 /C2FRE0000010029.pdf")</f>
        <v>https://transparencia.cidesi.mx/comprobantes/2021/CQ2100496 /C2FRE0000010029.pdf</v>
      </c>
      <c r="AO420" t="str">
        <f>HYPERLINK("https://transparencia.cidesi.mx/comprobantes/2021/CQ2100496 /C2FRE0000010029.xml")</f>
        <v>https://transparencia.cidesi.mx/comprobantes/2021/CQ2100496 /C2FRE0000010029.xml</v>
      </c>
      <c r="AP420" t="s">
        <v>931</v>
      </c>
      <c r="AQ420" t="s">
        <v>932</v>
      </c>
      <c r="AR420" t="s">
        <v>933</v>
      </c>
      <c r="AS420" t="s">
        <v>934</v>
      </c>
      <c r="AT420" s="1">
        <v>44389</v>
      </c>
      <c r="AU420" t="s">
        <v>73</v>
      </c>
    </row>
    <row r="421" spans="1:47" x14ac:dyDescent="0.3">
      <c r="A421" t="s">
        <v>246</v>
      </c>
      <c r="B421" t="s">
        <v>182</v>
      </c>
      <c r="C421" t="s">
        <v>183</v>
      </c>
      <c r="D421">
        <v>636</v>
      </c>
      <c r="E421" t="s">
        <v>910</v>
      </c>
      <c r="F421" t="s">
        <v>911</v>
      </c>
      <c r="G421" t="s">
        <v>912</v>
      </c>
      <c r="H421" t="s">
        <v>935</v>
      </c>
      <c r="I421" t="s">
        <v>54</v>
      </c>
      <c r="J421" t="s">
        <v>936</v>
      </c>
      <c r="K421" t="s">
        <v>56</v>
      </c>
      <c r="L421">
        <v>0</v>
      </c>
      <c r="M421" t="s">
        <v>73</v>
      </c>
      <c r="N421">
        <v>0</v>
      </c>
      <c r="O421" t="s">
        <v>58</v>
      </c>
      <c r="P421" t="s">
        <v>59</v>
      </c>
      <c r="Q421" t="s">
        <v>216</v>
      </c>
      <c r="R421" t="s">
        <v>936</v>
      </c>
      <c r="S421" s="1">
        <v>44390</v>
      </c>
      <c r="T421" s="1">
        <v>44390</v>
      </c>
      <c r="U421">
        <v>37501</v>
      </c>
      <c r="V421" t="s">
        <v>61</v>
      </c>
      <c r="W421" t="s">
        <v>937</v>
      </c>
      <c r="X421" s="1">
        <v>44391</v>
      </c>
      <c r="Y421" t="s">
        <v>63</v>
      </c>
      <c r="Z421">
        <v>161.21</v>
      </c>
      <c r="AA421">
        <v>16</v>
      </c>
      <c r="AB421">
        <v>25.79</v>
      </c>
      <c r="AC421">
        <v>0</v>
      </c>
      <c r="AD421">
        <v>187</v>
      </c>
      <c r="AE421">
        <v>298.39999999999998</v>
      </c>
      <c r="AF421">
        <v>545</v>
      </c>
      <c r="AG421" t="s">
        <v>916</v>
      </c>
      <c r="AH421" t="s">
        <v>65</v>
      </c>
      <c r="AI421" t="s">
        <v>65</v>
      </c>
      <c r="AJ421" t="s">
        <v>66</v>
      </c>
      <c r="AK421" t="s">
        <v>66</v>
      </c>
      <c r="AL421" t="s">
        <v>66</v>
      </c>
      <c r="AM421" s="2" t="str">
        <f>HYPERLINK("https://transparencia.cidesi.mx/comprobantes/2021/CQ2100505 /C1FA-FAC064344-QURJ780714T49.pdf")</f>
        <v>https://transparencia.cidesi.mx/comprobantes/2021/CQ2100505 /C1FA-FAC064344-QURJ780714T49.pdf</v>
      </c>
      <c r="AN421" t="str">
        <f>HYPERLINK("https://transparencia.cidesi.mx/comprobantes/2021/CQ2100505 /C1FA-FAC064344-QURJ780714T49.pdf")</f>
        <v>https://transparencia.cidesi.mx/comprobantes/2021/CQ2100505 /C1FA-FAC064344-QURJ780714T49.pdf</v>
      </c>
      <c r="AO421" t="str">
        <f>HYPERLINK("https://transparencia.cidesi.mx/comprobantes/2021/CQ2100505 /C1FA-FAC064344-QURJ780714T49.xml")</f>
        <v>https://transparencia.cidesi.mx/comprobantes/2021/CQ2100505 /C1FA-FAC064344-QURJ780714T49.xml</v>
      </c>
      <c r="AP421" t="s">
        <v>938</v>
      </c>
      <c r="AQ421" t="s">
        <v>939</v>
      </c>
      <c r="AR421" t="s">
        <v>940</v>
      </c>
      <c r="AS421" t="s">
        <v>941</v>
      </c>
      <c r="AT421" s="1">
        <v>44396</v>
      </c>
      <c r="AU421" s="1">
        <v>44399</v>
      </c>
    </row>
    <row r="422" spans="1:47" x14ac:dyDescent="0.3">
      <c r="A422" t="s">
        <v>246</v>
      </c>
      <c r="B422" t="s">
        <v>182</v>
      </c>
      <c r="C422" t="s">
        <v>183</v>
      </c>
      <c r="D422">
        <v>636</v>
      </c>
      <c r="E422" t="s">
        <v>910</v>
      </c>
      <c r="F422" t="s">
        <v>911</v>
      </c>
      <c r="G422" t="s">
        <v>912</v>
      </c>
      <c r="H422" t="s">
        <v>935</v>
      </c>
      <c r="I422" t="s">
        <v>54</v>
      </c>
      <c r="J422" t="s">
        <v>936</v>
      </c>
      <c r="K422" t="s">
        <v>56</v>
      </c>
      <c r="L422">
        <v>0</v>
      </c>
      <c r="M422" t="s">
        <v>73</v>
      </c>
      <c r="N422">
        <v>0</v>
      </c>
      <c r="O422" t="s">
        <v>58</v>
      </c>
      <c r="P422" t="s">
        <v>59</v>
      </c>
      <c r="Q422" t="s">
        <v>216</v>
      </c>
      <c r="R422" t="s">
        <v>936</v>
      </c>
      <c r="S422" s="1">
        <v>44390</v>
      </c>
      <c r="T422" s="1">
        <v>44390</v>
      </c>
      <c r="U422">
        <v>37501</v>
      </c>
      <c r="V422" t="s">
        <v>61</v>
      </c>
      <c r="W422" t="s">
        <v>937</v>
      </c>
      <c r="X422" s="1">
        <v>44391</v>
      </c>
      <c r="Y422" t="s">
        <v>63</v>
      </c>
      <c r="Z422">
        <v>101.87</v>
      </c>
      <c r="AA422">
        <v>16</v>
      </c>
      <c r="AB422">
        <v>7.09</v>
      </c>
      <c r="AC422">
        <v>2.44</v>
      </c>
      <c r="AD422">
        <v>111.4</v>
      </c>
      <c r="AE422">
        <v>298.39999999999998</v>
      </c>
      <c r="AF422">
        <v>545</v>
      </c>
      <c r="AG422" t="s">
        <v>916</v>
      </c>
      <c r="AH422" t="s">
        <v>65</v>
      </c>
      <c r="AI422" t="s">
        <v>65</v>
      </c>
      <c r="AJ422" t="s">
        <v>66</v>
      </c>
      <c r="AK422" t="s">
        <v>66</v>
      </c>
      <c r="AL422" t="s">
        <v>66</v>
      </c>
      <c r="AM422" s="2" t="str">
        <f>HYPERLINK("https://transparencia.cidesi.mx/comprobantes/2021/CQ2100505 /C2FACTURA_1626272828489_337092409.pdf")</f>
        <v>https://transparencia.cidesi.mx/comprobantes/2021/CQ2100505 /C2FACTURA_1626272828489_337092409.pdf</v>
      </c>
      <c r="AN422" t="str">
        <f>HYPERLINK("https://transparencia.cidesi.mx/comprobantes/2021/CQ2100505 /C2FACTURA_1626272828489_337092409.pdf")</f>
        <v>https://transparencia.cidesi.mx/comprobantes/2021/CQ2100505 /C2FACTURA_1626272828489_337092409.pdf</v>
      </c>
      <c r="AO422" t="str">
        <f>HYPERLINK("https://transparencia.cidesi.mx/comprobantes/2021/CQ2100505 /C2FACTURA_1626272831629_337092409.xml")</f>
        <v>https://transparencia.cidesi.mx/comprobantes/2021/CQ2100505 /C2FACTURA_1626272831629_337092409.xml</v>
      </c>
      <c r="AP422" t="s">
        <v>938</v>
      </c>
      <c r="AQ422" t="s">
        <v>939</v>
      </c>
      <c r="AR422" t="s">
        <v>940</v>
      </c>
      <c r="AS422" t="s">
        <v>941</v>
      </c>
      <c r="AT422" s="1">
        <v>44396</v>
      </c>
      <c r="AU422" s="1">
        <v>44399</v>
      </c>
    </row>
    <row r="423" spans="1:47" x14ac:dyDescent="0.3">
      <c r="A423" t="s">
        <v>246</v>
      </c>
      <c r="B423" t="s">
        <v>182</v>
      </c>
      <c r="C423" t="s">
        <v>183</v>
      </c>
      <c r="D423">
        <v>636</v>
      </c>
      <c r="E423" t="s">
        <v>910</v>
      </c>
      <c r="F423" t="s">
        <v>911</v>
      </c>
      <c r="G423" t="s">
        <v>912</v>
      </c>
      <c r="H423" t="s">
        <v>942</v>
      </c>
      <c r="I423" t="s">
        <v>54</v>
      </c>
      <c r="J423" t="s">
        <v>943</v>
      </c>
      <c r="K423" t="s">
        <v>56</v>
      </c>
      <c r="L423">
        <v>0</v>
      </c>
      <c r="M423" t="s">
        <v>73</v>
      </c>
      <c r="N423">
        <v>0</v>
      </c>
      <c r="O423" t="s">
        <v>58</v>
      </c>
      <c r="P423" t="s">
        <v>59</v>
      </c>
      <c r="Q423" t="s">
        <v>60</v>
      </c>
      <c r="R423" t="s">
        <v>943</v>
      </c>
      <c r="S423" s="1">
        <v>44393</v>
      </c>
      <c r="T423" s="1">
        <v>44393</v>
      </c>
      <c r="U423">
        <v>37501</v>
      </c>
      <c r="V423" t="s">
        <v>61</v>
      </c>
      <c r="W423" t="s">
        <v>944</v>
      </c>
      <c r="X423" s="1">
        <v>44396</v>
      </c>
      <c r="Y423" t="s">
        <v>63</v>
      </c>
      <c r="Z423">
        <v>167.25</v>
      </c>
      <c r="AA423">
        <v>16</v>
      </c>
      <c r="AB423">
        <v>26.76</v>
      </c>
      <c r="AC423">
        <v>0</v>
      </c>
      <c r="AD423">
        <v>194.01</v>
      </c>
      <c r="AE423">
        <v>471.21</v>
      </c>
      <c r="AF423">
        <v>545</v>
      </c>
      <c r="AG423" t="s">
        <v>916</v>
      </c>
      <c r="AH423" t="s">
        <v>65</v>
      </c>
      <c r="AI423" t="s">
        <v>65</v>
      </c>
      <c r="AJ423" t="s">
        <v>66</v>
      </c>
      <c r="AK423" t="s">
        <v>66</v>
      </c>
      <c r="AL423" t="s">
        <v>66</v>
      </c>
      <c r="AM423" s="2" t="str">
        <f>HYPERLINK("https://transparencia.cidesi.mx/comprobantes/2021/CQ2100524 /C1CFDI0000006633.pdf")</f>
        <v>https://transparencia.cidesi.mx/comprobantes/2021/CQ2100524 /C1CFDI0000006633.pdf</v>
      </c>
      <c r="AN423" t="str">
        <f>HYPERLINK("https://transparencia.cidesi.mx/comprobantes/2021/CQ2100524 /C1CFDI0000006633.pdf")</f>
        <v>https://transparencia.cidesi.mx/comprobantes/2021/CQ2100524 /C1CFDI0000006633.pdf</v>
      </c>
      <c r="AO423" t="str">
        <f>HYPERLINK("https://transparencia.cidesi.mx/comprobantes/2021/CQ2100524 /C1cfdi0000006633.xml")</f>
        <v>https://transparencia.cidesi.mx/comprobantes/2021/CQ2100524 /C1cfdi0000006633.xml</v>
      </c>
      <c r="AP423" t="s">
        <v>945</v>
      </c>
      <c r="AQ423" t="s">
        <v>946</v>
      </c>
      <c r="AR423" t="s">
        <v>947</v>
      </c>
      <c r="AS423" t="s">
        <v>948</v>
      </c>
      <c r="AT423" s="1">
        <v>44396</v>
      </c>
      <c r="AU423" s="1">
        <v>44399</v>
      </c>
    </row>
    <row r="424" spans="1:47" x14ac:dyDescent="0.3">
      <c r="A424" t="s">
        <v>246</v>
      </c>
      <c r="B424" t="s">
        <v>182</v>
      </c>
      <c r="C424" t="s">
        <v>183</v>
      </c>
      <c r="D424">
        <v>636</v>
      </c>
      <c r="E424" t="s">
        <v>910</v>
      </c>
      <c r="F424" t="s">
        <v>911</v>
      </c>
      <c r="G424" t="s">
        <v>912</v>
      </c>
      <c r="H424" t="s">
        <v>942</v>
      </c>
      <c r="I424" t="s">
        <v>54</v>
      </c>
      <c r="J424" t="s">
        <v>943</v>
      </c>
      <c r="K424" t="s">
        <v>56</v>
      </c>
      <c r="L424">
        <v>0</v>
      </c>
      <c r="M424" t="s">
        <v>73</v>
      </c>
      <c r="N424">
        <v>0</v>
      </c>
      <c r="O424" t="s">
        <v>58</v>
      </c>
      <c r="P424" t="s">
        <v>59</v>
      </c>
      <c r="Q424" t="s">
        <v>60</v>
      </c>
      <c r="R424" t="s">
        <v>943</v>
      </c>
      <c r="S424" s="1">
        <v>44393</v>
      </c>
      <c r="T424" s="1">
        <v>44393</v>
      </c>
      <c r="U424">
        <v>37501</v>
      </c>
      <c r="V424" t="s">
        <v>61</v>
      </c>
      <c r="W424" t="s">
        <v>944</v>
      </c>
      <c r="X424" s="1">
        <v>44396</v>
      </c>
      <c r="Y424" t="s">
        <v>63</v>
      </c>
      <c r="Z424">
        <v>217.24</v>
      </c>
      <c r="AA424">
        <v>16</v>
      </c>
      <c r="AB424">
        <v>34.76</v>
      </c>
      <c r="AC424">
        <v>25.2</v>
      </c>
      <c r="AD424">
        <v>277.2</v>
      </c>
      <c r="AE424">
        <v>471.21</v>
      </c>
      <c r="AF424">
        <v>545</v>
      </c>
      <c r="AG424" t="s">
        <v>916</v>
      </c>
      <c r="AH424" t="s">
        <v>65</v>
      </c>
      <c r="AI424" t="s">
        <v>65</v>
      </c>
      <c r="AJ424" t="s">
        <v>66</v>
      </c>
      <c r="AK424" t="s">
        <v>66</v>
      </c>
      <c r="AL424" t="s">
        <v>66</v>
      </c>
      <c r="AM424" s="2" t="str">
        <f>HYPERLINK("https://transparencia.cidesi.mx/comprobantes/2021/CQ2100524 /C2RORR791119M94_Factura__36990_451A63C5-80AA-4316-B147-79B2E077426B.pdf")</f>
        <v>https://transparencia.cidesi.mx/comprobantes/2021/CQ2100524 /C2RORR791119M94_Factura__36990_451A63C5-80AA-4316-B147-79B2E077426B.pdf</v>
      </c>
      <c r="AN424" t="str">
        <f>HYPERLINK("https://transparencia.cidesi.mx/comprobantes/2021/CQ2100524 /C2RORR791119M94_Factura__36990_451A63C5-80AA-4316-B147-79B2E077426B.pdf")</f>
        <v>https://transparencia.cidesi.mx/comprobantes/2021/CQ2100524 /C2RORR791119M94_Factura__36990_451A63C5-80AA-4316-B147-79B2E077426B.pdf</v>
      </c>
      <c r="AO424" t="str">
        <f>HYPERLINK("https://transparencia.cidesi.mx/comprobantes/2021/CQ2100524 /C2RORR791119M94_Factura__36990_451A63C5-80AA-4316-B147-79B2E077426B.xml")</f>
        <v>https://transparencia.cidesi.mx/comprobantes/2021/CQ2100524 /C2RORR791119M94_Factura__36990_451A63C5-80AA-4316-B147-79B2E077426B.xml</v>
      </c>
      <c r="AP424" t="s">
        <v>945</v>
      </c>
      <c r="AQ424" t="s">
        <v>946</v>
      </c>
      <c r="AR424" t="s">
        <v>947</v>
      </c>
      <c r="AS424" t="s">
        <v>948</v>
      </c>
      <c r="AT424" s="1">
        <v>44396</v>
      </c>
      <c r="AU424" s="1">
        <v>44399</v>
      </c>
    </row>
    <row r="425" spans="1:47" x14ac:dyDescent="0.3">
      <c r="A425" t="s">
        <v>246</v>
      </c>
      <c r="B425" t="s">
        <v>182</v>
      </c>
      <c r="C425" t="s">
        <v>183</v>
      </c>
      <c r="D425">
        <v>636</v>
      </c>
      <c r="E425" t="s">
        <v>910</v>
      </c>
      <c r="F425" t="s">
        <v>911</v>
      </c>
      <c r="G425" t="s">
        <v>912</v>
      </c>
      <c r="H425" t="s">
        <v>949</v>
      </c>
      <c r="I425" t="s">
        <v>54</v>
      </c>
      <c r="J425" t="s">
        <v>950</v>
      </c>
      <c r="K425" t="s">
        <v>56</v>
      </c>
      <c r="L425">
        <v>0</v>
      </c>
      <c r="M425" t="s">
        <v>73</v>
      </c>
      <c r="N425">
        <v>0</v>
      </c>
      <c r="O425" t="s">
        <v>58</v>
      </c>
      <c r="P425" t="s">
        <v>59</v>
      </c>
      <c r="Q425" t="s">
        <v>189</v>
      </c>
      <c r="R425" t="s">
        <v>950</v>
      </c>
      <c r="S425" s="1">
        <v>44398</v>
      </c>
      <c r="T425" s="1">
        <v>44398</v>
      </c>
      <c r="U425">
        <v>37201</v>
      </c>
      <c r="V425" t="s">
        <v>417</v>
      </c>
      <c r="W425" t="s">
        <v>951</v>
      </c>
      <c r="X425" s="1">
        <v>44404</v>
      </c>
      <c r="Y425" t="s">
        <v>63</v>
      </c>
      <c r="Z425">
        <v>10525</v>
      </c>
      <c r="AA425">
        <v>0</v>
      </c>
      <c r="AB425">
        <v>0</v>
      </c>
      <c r="AC425">
        <v>0</v>
      </c>
      <c r="AD425">
        <v>10525</v>
      </c>
      <c r="AE425">
        <v>10525</v>
      </c>
      <c r="AF425">
        <v>0</v>
      </c>
      <c r="AG425" t="s">
        <v>952</v>
      </c>
      <c r="AH425" t="s">
        <v>66</v>
      </c>
      <c r="AI425" t="s">
        <v>65</v>
      </c>
      <c r="AJ425" t="s">
        <v>66</v>
      </c>
      <c r="AK425" t="s">
        <v>66</v>
      </c>
      <c r="AL425" t="s">
        <v>66</v>
      </c>
      <c r="AM425" s="2" t="str">
        <f>HYPERLINK("https://transparencia.cidesi.mx/comprobantes/2021/CQ2100554 /C1103ac283-0590-4bc7-897d-bfbd497c0905.pdf")</f>
        <v>https://transparencia.cidesi.mx/comprobantes/2021/CQ2100554 /C1103ac283-0590-4bc7-897d-bfbd497c0905.pdf</v>
      </c>
      <c r="AN425" t="str">
        <f>HYPERLINK("https://transparencia.cidesi.mx/comprobantes/2021/CQ2100554 /C1103ac283-0590-4bc7-897d-bfbd497c0905.pdf")</f>
        <v>https://transparencia.cidesi.mx/comprobantes/2021/CQ2100554 /C1103ac283-0590-4bc7-897d-bfbd497c0905.pdf</v>
      </c>
      <c r="AO425" t="str">
        <f>HYPERLINK("https://transparencia.cidesi.mx/comprobantes/2021/CQ2100554 /C1103ac283-0590-4bc7-897d-bfbd497c0905.xml")</f>
        <v>https://transparencia.cidesi.mx/comprobantes/2021/CQ2100554 /C1103ac283-0590-4bc7-897d-bfbd497c0905.xml</v>
      </c>
      <c r="AP425" t="s">
        <v>953</v>
      </c>
      <c r="AQ425" t="s">
        <v>954</v>
      </c>
      <c r="AR425" t="s">
        <v>955</v>
      </c>
      <c r="AS425" t="s">
        <v>956</v>
      </c>
      <c r="AT425" s="1">
        <v>44405</v>
      </c>
      <c r="AU425" s="1">
        <v>44411</v>
      </c>
    </row>
    <row r="426" spans="1:47" x14ac:dyDescent="0.3">
      <c r="A426" t="s">
        <v>246</v>
      </c>
      <c r="B426" t="s">
        <v>182</v>
      </c>
      <c r="C426" t="s">
        <v>183</v>
      </c>
      <c r="D426">
        <v>636</v>
      </c>
      <c r="E426" t="s">
        <v>910</v>
      </c>
      <c r="F426" t="s">
        <v>911</v>
      </c>
      <c r="G426" t="s">
        <v>912</v>
      </c>
      <c r="H426" t="s">
        <v>957</v>
      </c>
      <c r="I426" t="s">
        <v>54</v>
      </c>
      <c r="J426" t="s">
        <v>958</v>
      </c>
      <c r="K426" t="s">
        <v>56</v>
      </c>
      <c r="L426">
        <v>0</v>
      </c>
      <c r="M426" t="s">
        <v>73</v>
      </c>
      <c r="N426">
        <v>0</v>
      </c>
      <c r="O426" t="s">
        <v>58</v>
      </c>
      <c r="P426" t="s">
        <v>59</v>
      </c>
      <c r="Q426" t="s">
        <v>959</v>
      </c>
      <c r="R426" t="s">
        <v>958</v>
      </c>
      <c r="S426" s="1">
        <v>44401</v>
      </c>
      <c r="T426" s="1">
        <v>44407</v>
      </c>
      <c r="U426">
        <v>37501</v>
      </c>
      <c r="V426" t="s">
        <v>94</v>
      </c>
      <c r="W426" t="s">
        <v>960</v>
      </c>
      <c r="X426" s="1">
        <v>44431</v>
      </c>
      <c r="Y426" t="s">
        <v>100</v>
      </c>
      <c r="Z426">
        <v>160.06</v>
      </c>
      <c r="AA426">
        <v>16</v>
      </c>
      <c r="AB426">
        <v>25.61</v>
      </c>
      <c r="AC426">
        <v>0</v>
      </c>
      <c r="AD426">
        <v>185.67</v>
      </c>
      <c r="AE426">
        <v>8026.01</v>
      </c>
      <c r="AF426">
        <v>7091</v>
      </c>
      <c r="AG426" t="s">
        <v>961</v>
      </c>
      <c r="AH426" t="s">
        <v>66</v>
      </c>
      <c r="AI426" t="s">
        <v>65</v>
      </c>
      <c r="AJ426" t="s">
        <v>66</v>
      </c>
      <c r="AK426" t="s">
        <v>66</v>
      </c>
      <c r="AL426" t="s">
        <v>66</v>
      </c>
      <c r="AM426" s="2" t="str">
        <f>HYPERLINK("https://transparencia.cidesi.mx/comprobantes/2021/CQ2100675 /C1API960408UB8_81644ATP2.pdf")</f>
        <v>https://transparencia.cidesi.mx/comprobantes/2021/CQ2100675 /C1API960408UB8_81644ATP2.pdf</v>
      </c>
      <c r="AN426" t="str">
        <f>HYPERLINK("https://transparencia.cidesi.mx/comprobantes/2021/CQ2100675 /C1API960408UB8_81644ATP2.pdf")</f>
        <v>https://transparencia.cidesi.mx/comprobantes/2021/CQ2100675 /C1API960408UB8_81644ATP2.pdf</v>
      </c>
      <c r="AO426" t="str">
        <f>HYPERLINK("https://transparencia.cidesi.mx/comprobantes/2021/CQ2100675 /C1API960408UB8_81644ATP2.xml")</f>
        <v>https://transparencia.cidesi.mx/comprobantes/2021/CQ2100675 /C1API960408UB8_81644ATP2.xml</v>
      </c>
      <c r="AP426" t="s">
        <v>962</v>
      </c>
      <c r="AQ426" t="s">
        <v>963</v>
      </c>
      <c r="AR426" t="s">
        <v>964</v>
      </c>
      <c r="AS426" t="s">
        <v>965</v>
      </c>
      <c r="AT426" s="1">
        <v>44435</v>
      </c>
      <c r="AU426" t="s">
        <v>73</v>
      </c>
    </row>
    <row r="427" spans="1:47" x14ac:dyDescent="0.3">
      <c r="A427" t="s">
        <v>246</v>
      </c>
      <c r="B427" t="s">
        <v>182</v>
      </c>
      <c r="C427" t="s">
        <v>183</v>
      </c>
      <c r="D427">
        <v>636</v>
      </c>
      <c r="E427" t="s">
        <v>910</v>
      </c>
      <c r="F427" t="s">
        <v>911</v>
      </c>
      <c r="G427" t="s">
        <v>912</v>
      </c>
      <c r="H427" t="s">
        <v>957</v>
      </c>
      <c r="I427" t="s">
        <v>54</v>
      </c>
      <c r="J427" t="s">
        <v>958</v>
      </c>
      <c r="K427" t="s">
        <v>56</v>
      </c>
      <c r="L427">
        <v>0</v>
      </c>
      <c r="M427" t="s">
        <v>73</v>
      </c>
      <c r="N427">
        <v>0</v>
      </c>
      <c r="O427" t="s">
        <v>58</v>
      </c>
      <c r="P427" t="s">
        <v>59</v>
      </c>
      <c r="Q427" t="s">
        <v>959</v>
      </c>
      <c r="R427" t="s">
        <v>958</v>
      </c>
      <c r="S427" s="1">
        <v>44401</v>
      </c>
      <c r="T427" s="1">
        <v>44407</v>
      </c>
      <c r="U427">
        <v>37501</v>
      </c>
      <c r="V427" t="s">
        <v>104</v>
      </c>
      <c r="W427" t="s">
        <v>960</v>
      </c>
      <c r="X427" s="1">
        <v>44431</v>
      </c>
      <c r="Y427" t="s">
        <v>100</v>
      </c>
      <c r="Z427">
        <v>990</v>
      </c>
      <c r="AA427">
        <v>0</v>
      </c>
      <c r="AB427">
        <v>0</v>
      </c>
      <c r="AC427">
        <v>0</v>
      </c>
      <c r="AD427">
        <v>990</v>
      </c>
      <c r="AE427">
        <v>8026.01</v>
      </c>
      <c r="AF427">
        <v>7091</v>
      </c>
      <c r="AG427" t="s">
        <v>966</v>
      </c>
      <c r="AH427" t="s">
        <v>65</v>
      </c>
      <c r="AI427" t="s">
        <v>66</v>
      </c>
      <c r="AJ427" t="s">
        <v>66</v>
      </c>
      <c r="AK427" t="s">
        <v>66</v>
      </c>
      <c r="AL427" t="s">
        <v>66</v>
      </c>
      <c r="AM427" s="2" t="s">
        <v>73</v>
      </c>
      <c r="AN427" t="s">
        <v>73</v>
      </c>
      <c r="AO427" t="s">
        <v>73</v>
      </c>
      <c r="AP427" t="s">
        <v>962</v>
      </c>
      <c r="AQ427" t="s">
        <v>963</v>
      </c>
      <c r="AR427" t="s">
        <v>964</v>
      </c>
      <c r="AS427" t="s">
        <v>965</v>
      </c>
      <c r="AT427" s="1">
        <v>44435</v>
      </c>
      <c r="AU427" t="s">
        <v>73</v>
      </c>
    </row>
    <row r="428" spans="1:47" x14ac:dyDescent="0.3">
      <c r="A428" t="s">
        <v>246</v>
      </c>
      <c r="B428" t="s">
        <v>182</v>
      </c>
      <c r="C428" t="s">
        <v>183</v>
      </c>
      <c r="D428">
        <v>636</v>
      </c>
      <c r="E428" t="s">
        <v>910</v>
      </c>
      <c r="F428" t="s">
        <v>911</v>
      </c>
      <c r="G428" t="s">
        <v>912</v>
      </c>
      <c r="H428" t="s">
        <v>957</v>
      </c>
      <c r="I428" t="s">
        <v>54</v>
      </c>
      <c r="J428" t="s">
        <v>958</v>
      </c>
      <c r="K428" t="s">
        <v>56</v>
      </c>
      <c r="L428">
        <v>0</v>
      </c>
      <c r="M428" t="s">
        <v>73</v>
      </c>
      <c r="N428">
        <v>0</v>
      </c>
      <c r="O428" t="s">
        <v>58</v>
      </c>
      <c r="P428" t="s">
        <v>59</v>
      </c>
      <c r="Q428" t="s">
        <v>959</v>
      </c>
      <c r="R428" t="s">
        <v>958</v>
      </c>
      <c r="S428" s="1">
        <v>44401</v>
      </c>
      <c r="T428" s="1">
        <v>44407</v>
      </c>
      <c r="U428">
        <v>37501</v>
      </c>
      <c r="V428" t="s">
        <v>61</v>
      </c>
      <c r="W428" t="s">
        <v>960</v>
      </c>
      <c r="X428" s="1">
        <v>44431</v>
      </c>
      <c r="Y428" t="s">
        <v>100</v>
      </c>
      <c r="Z428">
        <v>275.86</v>
      </c>
      <c r="AA428">
        <v>16</v>
      </c>
      <c r="AB428">
        <v>44.14</v>
      </c>
      <c r="AC428">
        <v>32</v>
      </c>
      <c r="AD428">
        <v>352</v>
      </c>
      <c r="AE428">
        <v>8026.01</v>
      </c>
      <c r="AF428">
        <v>7091</v>
      </c>
      <c r="AG428" t="s">
        <v>916</v>
      </c>
      <c r="AH428" t="s">
        <v>65</v>
      </c>
      <c r="AI428" t="s">
        <v>65</v>
      </c>
      <c r="AJ428" t="s">
        <v>66</v>
      </c>
      <c r="AK428" t="s">
        <v>66</v>
      </c>
      <c r="AL428" t="s">
        <v>66</v>
      </c>
      <c r="AM428" s="2" t="str">
        <f>HYPERLINK("https://transparencia.cidesi.mx/comprobantes/2021/CQ2100675 /C4Facturae1204PDF.pdf")</f>
        <v>https://transparencia.cidesi.mx/comprobantes/2021/CQ2100675 /C4Facturae1204PDF.pdf</v>
      </c>
      <c r="AN428" t="str">
        <f>HYPERLINK("https://transparencia.cidesi.mx/comprobantes/2021/CQ2100675 /C4Facturae1204PDF.pdf")</f>
        <v>https://transparencia.cidesi.mx/comprobantes/2021/CQ2100675 /C4Facturae1204PDF.pdf</v>
      </c>
      <c r="AO428" t="str">
        <f>HYPERLINK("https://transparencia.cidesi.mx/comprobantes/2021/CQ2100675 /C4Factura1204Timbrada.xml")</f>
        <v>https://transparencia.cidesi.mx/comprobantes/2021/CQ2100675 /C4Factura1204Timbrada.xml</v>
      </c>
      <c r="AP428" t="s">
        <v>962</v>
      </c>
      <c r="AQ428" t="s">
        <v>963</v>
      </c>
      <c r="AR428" t="s">
        <v>964</v>
      </c>
      <c r="AS428" t="s">
        <v>965</v>
      </c>
      <c r="AT428" s="1">
        <v>44435</v>
      </c>
      <c r="AU428" t="s">
        <v>73</v>
      </c>
    </row>
    <row r="429" spans="1:47" x14ac:dyDescent="0.3">
      <c r="A429" t="s">
        <v>246</v>
      </c>
      <c r="B429" t="s">
        <v>182</v>
      </c>
      <c r="C429" t="s">
        <v>183</v>
      </c>
      <c r="D429">
        <v>636</v>
      </c>
      <c r="E429" t="s">
        <v>910</v>
      </c>
      <c r="F429" t="s">
        <v>911</v>
      </c>
      <c r="G429" t="s">
        <v>912</v>
      </c>
      <c r="H429" t="s">
        <v>957</v>
      </c>
      <c r="I429" t="s">
        <v>54</v>
      </c>
      <c r="J429" t="s">
        <v>958</v>
      </c>
      <c r="K429" t="s">
        <v>56</v>
      </c>
      <c r="L429">
        <v>0</v>
      </c>
      <c r="M429" t="s">
        <v>73</v>
      </c>
      <c r="N429">
        <v>0</v>
      </c>
      <c r="O429" t="s">
        <v>58</v>
      </c>
      <c r="P429" t="s">
        <v>59</v>
      </c>
      <c r="Q429" t="s">
        <v>959</v>
      </c>
      <c r="R429" t="s">
        <v>958</v>
      </c>
      <c r="S429" s="1">
        <v>44401</v>
      </c>
      <c r="T429" s="1">
        <v>44407</v>
      </c>
      <c r="U429">
        <v>37501</v>
      </c>
      <c r="V429" t="s">
        <v>61</v>
      </c>
      <c r="W429" t="s">
        <v>960</v>
      </c>
      <c r="X429" s="1">
        <v>44431</v>
      </c>
      <c r="Y429" t="s">
        <v>100</v>
      </c>
      <c r="Z429">
        <v>137.94</v>
      </c>
      <c r="AA429">
        <v>16</v>
      </c>
      <c r="AB429">
        <v>22.06</v>
      </c>
      <c r="AC429">
        <v>16</v>
      </c>
      <c r="AD429">
        <v>176</v>
      </c>
      <c r="AE429">
        <v>8026.01</v>
      </c>
      <c r="AF429">
        <v>7091</v>
      </c>
      <c r="AG429" t="s">
        <v>916</v>
      </c>
      <c r="AH429" t="s">
        <v>65</v>
      </c>
      <c r="AI429" t="s">
        <v>65</v>
      </c>
      <c r="AJ429" t="s">
        <v>66</v>
      </c>
      <c r="AK429" t="s">
        <v>66</v>
      </c>
      <c r="AL429" t="s">
        <v>66</v>
      </c>
      <c r="AM429" s="2" t="str">
        <f>HYPERLINK("https://transparencia.cidesi.mx/comprobantes/2021/CQ2100675 /C5ABUELOS.pdf")</f>
        <v>https://transparencia.cidesi.mx/comprobantes/2021/CQ2100675 /C5ABUELOS.pdf</v>
      </c>
      <c r="AN429" t="str">
        <f>HYPERLINK("https://transparencia.cidesi.mx/comprobantes/2021/CQ2100675 /C5ABUELOS.pdf")</f>
        <v>https://transparencia.cidesi.mx/comprobantes/2021/CQ2100675 /C5ABUELOS.pdf</v>
      </c>
      <c r="AO429" t="str">
        <f>HYPERLINK("https://transparencia.cidesi.mx/comprobantes/2021/CQ2100675 /C5ABUELOS.xml")</f>
        <v>https://transparencia.cidesi.mx/comprobantes/2021/CQ2100675 /C5ABUELOS.xml</v>
      </c>
      <c r="AP429" t="s">
        <v>962</v>
      </c>
      <c r="AQ429" t="s">
        <v>963</v>
      </c>
      <c r="AR429" t="s">
        <v>964</v>
      </c>
      <c r="AS429" t="s">
        <v>965</v>
      </c>
      <c r="AT429" s="1">
        <v>44435</v>
      </c>
      <c r="AU429" t="s">
        <v>73</v>
      </c>
    </row>
    <row r="430" spans="1:47" x14ac:dyDescent="0.3">
      <c r="A430" t="s">
        <v>246</v>
      </c>
      <c r="B430" t="s">
        <v>182</v>
      </c>
      <c r="C430" t="s">
        <v>183</v>
      </c>
      <c r="D430">
        <v>636</v>
      </c>
      <c r="E430" t="s">
        <v>910</v>
      </c>
      <c r="F430" t="s">
        <v>911</v>
      </c>
      <c r="G430" t="s">
        <v>912</v>
      </c>
      <c r="H430" t="s">
        <v>957</v>
      </c>
      <c r="I430" t="s">
        <v>54</v>
      </c>
      <c r="J430" t="s">
        <v>958</v>
      </c>
      <c r="K430" t="s">
        <v>56</v>
      </c>
      <c r="L430">
        <v>0</v>
      </c>
      <c r="M430" t="s">
        <v>73</v>
      </c>
      <c r="N430">
        <v>0</v>
      </c>
      <c r="O430" t="s">
        <v>58</v>
      </c>
      <c r="P430" t="s">
        <v>59</v>
      </c>
      <c r="Q430" t="s">
        <v>959</v>
      </c>
      <c r="R430" t="s">
        <v>958</v>
      </c>
      <c r="S430" s="1">
        <v>44401</v>
      </c>
      <c r="T430" s="1">
        <v>44407</v>
      </c>
      <c r="U430">
        <v>37501</v>
      </c>
      <c r="V430" t="s">
        <v>94</v>
      </c>
      <c r="W430" t="s">
        <v>960</v>
      </c>
      <c r="X430" s="1">
        <v>44431</v>
      </c>
      <c r="Y430" t="s">
        <v>100</v>
      </c>
      <c r="Z430">
        <v>160.06</v>
      </c>
      <c r="AA430">
        <v>16</v>
      </c>
      <c r="AB430">
        <v>25.61</v>
      </c>
      <c r="AC430">
        <v>0</v>
      </c>
      <c r="AD430">
        <v>185.67</v>
      </c>
      <c r="AE430">
        <v>8026.01</v>
      </c>
      <c r="AF430">
        <v>7091</v>
      </c>
      <c r="AG430" t="s">
        <v>961</v>
      </c>
      <c r="AH430" t="s">
        <v>66</v>
      </c>
      <c r="AI430" t="s">
        <v>65</v>
      </c>
      <c r="AJ430" t="s">
        <v>66</v>
      </c>
      <c r="AK430" t="s">
        <v>66</v>
      </c>
      <c r="AL430" t="s">
        <v>66</v>
      </c>
      <c r="AM430" s="2" t="str">
        <f>HYPERLINK("https://transparencia.cidesi.mx/comprobantes/2021/CQ2100675 /C6API960408UB8_195294ATP1.pdf")</f>
        <v>https://transparencia.cidesi.mx/comprobantes/2021/CQ2100675 /C6API960408UB8_195294ATP1.pdf</v>
      </c>
      <c r="AN430" t="str">
        <f>HYPERLINK("https://transparencia.cidesi.mx/comprobantes/2021/CQ2100675 /C6API960408UB8_195294ATP1.pdf")</f>
        <v>https://transparencia.cidesi.mx/comprobantes/2021/CQ2100675 /C6API960408UB8_195294ATP1.pdf</v>
      </c>
      <c r="AO430" t="str">
        <f>HYPERLINK("https://transparencia.cidesi.mx/comprobantes/2021/CQ2100675 /C6API960408UB8_195294ATP1.xml")</f>
        <v>https://transparencia.cidesi.mx/comprobantes/2021/CQ2100675 /C6API960408UB8_195294ATP1.xml</v>
      </c>
      <c r="AP430" t="s">
        <v>962</v>
      </c>
      <c r="AQ430" t="s">
        <v>963</v>
      </c>
      <c r="AR430" t="s">
        <v>964</v>
      </c>
      <c r="AS430" t="s">
        <v>965</v>
      </c>
      <c r="AT430" s="1">
        <v>44435</v>
      </c>
      <c r="AU430" t="s">
        <v>73</v>
      </c>
    </row>
    <row r="431" spans="1:47" x14ac:dyDescent="0.3">
      <c r="A431" t="s">
        <v>246</v>
      </c>
      <c r="B431" t="s">
        <v>182</v>
      </c>
      <c r="C431" t="s">
        <v>183</v>
      </c>
      <c r="D431">
        <v>636</v>
      </c>
      <c r="E431" t="s">
        <v>910</v>
      </c>
      <c r="F431" t="s">
        <v>911</v>
      </c>
      <c r="G431" t="s">
        <v>912</v>
      </c>
      <c r="H431" t="s">
        <v>957</v>
      </c>
      <c r="I431" t="s">
        <v>54</v>
      </c>
      <c r="J431" t="s">
        <v>958</v>
      </c>
      <c r="K431" t="s">
        <v>56</v>
      </c>
      <c r="L431">
        <v>0</v>
      </c>
      <c r="M431" t="s">
        <v>73</v>
      </c>
      <c r="N431">
        <v>0</v>
      </c>
      <c r="O431" t="s">
        <v>58</v>
      </c>
      <c r="P431" t="s">
        <v>59</v>
      </c>
      <c r="Q431" t="s">
        <v>959</v>
      </c>
      <c r="R431" t="s">
        <v>958</v>
      </c>
      <c r="S431" s="1">
        <v>44401</v>
      </c>
      <c r="T431" s="1">
        <v>44407</v>
      </c>
      <c r="U431">
        <v>37501</v>
      </c>
      <c r="V431" t="s">
        <v>104</v>
      </c>
      <c r="W431" t="s">
        <v>960</v>
      </c>
      <c r="X431" s="1">
        <v>44431</v>
      </c>
      <c r="Y431" t="s">
        <v>100</v>
      </c>
      <c r="Z431">
        <v>703.39</v>
      </c>
      <c r="AA431">
        <v>16</v>
      </c>
      <c r="AB431">
        <v>112.54</v>
      </c>
      <c r="AC431">
        <v>14.07</v>
      </c>
      <c r="AD431">
        <v>830</v>
      </c>
      <c r="AE431">
        <v>8026.01</v>
      </c>
      <c r="AF431">
        <v>7091</v>
      </c>
      <c r="AG431" t="s">
        <v>966</v>
      </c>
      <c r="AH431" t="s">
        <v>65</v>
      </c>
      <c r="AI431" t="s">
        <v>65</v>
      </c>
      <c r="AJ431" t="s">
        <v>66</v>
      </c>
      <c r="AK431" t="s">
        <v>66</v>
      </c>
      <c r="AL431" t="s">
        <v>66</v>
      </c>
      <c r="AM431" s="2" t="str">
        <f>HYPERLINK("https://transparencia.cidesi.mx/comprobantes/2021/CQ2100675 /C7I_SMO611101V6A_HO-10060.pdf")</f>
        <v>https://transparencia.cidesi.mx/comprobantes/2021/CQ2100675 /C7I_SMO611101V6A_HO-10060.pdf</v>
      </c>
      <c r="AN431" t="str">
        <f>HYPERLINK("https://transparencia.cidesi.mx/comprobantes/2021/CQ2100675 /C7I_SMO611101V6A_HO-10060.pdf")</f>
        <v>https://transparencia.cidesi.mx/comprobantes/2021/CQ2100675 /C7I_SMO611101V6A_HO-10060.pdf</v>
      </c>
      <c r="AO431" t="str">
        <f>HYPERLINK("https://transparencia.cidesi.mx/comprobantes/2021/CQ2100675 /C7I_SMO611101V6A_HO-10060.xml")</f>
        <v>https://transparencia.cidesi.mx/comprobantes/2021/CQ2100675 /C7I_SMO611101V6A_HO-10060.xml</v>
      </c>
      <c r="AP431" t="s">
        <v>962</v>
      </c>
      <c r="AQ431" t="s">
        <v>963</v>
      </c>
      <c r="AR431" t="s">
        <v>964</v>
      </c>
      <c r="AS431" t="s">
        <v>965</v>
      </c>
      <c r="AT431" s="1">
        <v>44435</v>
      </c>
      <c r="AU431" t="s">
        <v>73</v>
      </c>
    </row>
    <row r="432" spans="1:47" x14ac:dyDescent="0.3">
      <c r="A432" t="s">
        <v>246</v>
      </c>
      <c r="B432" t="s">
        <v>182</v>
      </c>
      <c r="C432" t="s">
        <v>183</v>
      </c>
      <c r="D432">
        <v>636</v>
      </c>
      <c r="E432" t="s">
        <v>910</v>
      </c>
      <c r="F432" t="s">
        <v>911</v>
      </c>
      <c r="G432" t="s">
        <v>912</v>
      </c>
      <c r="H432" t="s">
        <v>957</v>
      </c>
      <c r="I432" t="s">
        <v>54</v>
      </c>
      <c r="J432" t="s">
        <v>958</v>
      </c>
      <c r="K432" t="s">
        <v>56</v>
      </c>
      <c r="L432">
        <v>0</v>
      </c>
      <c r="M432" t="s">
        <v>73</v>
      </c>
      <c r="N432">
        <v>0</v>
      </c>
      <c r="O432" t="s">
        <v>58</v>
      </c>
      <c r="P432" t="s">
        <v>59</v>
      </c>
      <c r="Q432" t="s">
        <v>959</v>
      </c>
      <c r="R432" t="s">
        <v>958</v>
      </c>
      <c r="S432" s="1">
        <v>44401</v>
      </c>
      <c r="T432" s="1">
        <v>44407</v>
      </c>
      <c r="U432">
        <v>37501</v>
      </c>
      <c r="V432" t="s">
        <v>61</v>
      </c>
      <c r="W432" t="s">
        <v>960</v>
      </c>
      <c r="X432" s="1">
        <v>44431</v>
      </c>
      <c r="Y432" t="s">
        <v>100</v>
      </c>
      <c r="Z432">
        <v>185.34</v>
      </c>
      <c r="AA432">
        <v>16</v>
      </c>
      <c r="AB432">
        <v>29.66</v>
      </c>
      <c r="AC432">
        <v>21.5</v>
      </c>
      <c r="AD432">
        <v>236.5</v>
      </c>
      <c r="AE432">
        <v>8026.01</v>
      </c>
      <c r="AF432">
        <v>7091</v>
      </c>
      <c r="AG432" t="s">
        <v>916</v>
      </c>
      <c r="AH432" t="s">
        <v>65</v>
      </c>
      <c r="AI432" t="s">
        <v>65</v>
      </c>
      <c r="AJ432" t="s">
        <v>66</v>
      </c>
      <c r="AK432" t="s">
        <v>66</v>
      </c>
      <c r="AL432" t="s">
        <v>66</v>
      </c>
      <c r="AM432" s="2" t="str">
        <f>HYPERLINK("https://transparencia.cidesi.mx/comprobantes/2021/CQ2100675 /C9D__AutoFactura_5332_Comprobantes_fc5339F.pdf")</f>
        <v>https://transparencia.cidesi.mx/comprobantes/2021/CQ2100675 /C9D__AutoFactura_5332_Comprobantes_fc5339F.pdf</v>
      </c>
      <c r="AN432" t="str">
        <f>HYPERLINK("https://transparencia.cidesi.mx/comprobantes/2021/CQ2100675 /C9D__AutoFactura_5332_Comprobantes_fc5339F.pdf")</f>
        <v>https://transparencia.cidesi.mx/comprobantes/2021/CQ2100675 /C9D__AutoFactura_5332_Comprobantes_fc5339F.pdf</v>
      </c>
      <c r="AO432" t="str">
        <f>HYPERLINK("https://transparencia.cidesi.mx/comprobantes/2021/CQ2100675 /C9D__AutoFactura_5332_Comprobantes_5339F_xml.xml")</f>
        <v>https://transparencia.cidesi.mx/comprobantes/2021/CQ2100675 /C9D__AutoFactura_5332_Comprobantes_5339F_xml.xml</v>
      </c>
      <c r="AP432" t="s">
        <v>962</v>
      </c>
      <c r="AQ432" t="s">
        <v>963</v>
      </c>
      <c r="AR432" t="s">
        <v>964</v>
      </c>
      <c r="AS432" t="s">
        <v>965</v>
      </c>
      <c r="AT432" s="1">
        <v>44435</v>
      </c>
      <c r="AU432" t="s">
        <v>73</v>
      </c>
    </row>
    <row r="433" spans="1:47" x14ac:dyDescent="0.3">
      <c r="A433" t="s">
        <v>246</v>
      </c>
      <c r="B433" t="s">
        <v>182</v>
      </c>
      <c r="C433" t="s">
        <v>183</v>
      </c>
      <c r="D433">
        <v>636</v>
      </c>
      <c r="E433" t="s">
        <v>910</v>
      </c>
      <c r="F433" t="s">
        <v>911</v>
      </c>
      <c r="G433" t="s">
        <v>912</v>
      </c>
      <c r="H433" t="s">
        <v>957</v>
      </c>
      <c r="I433" t="s">
        <v>54</v>
      </c>
      <c r="J433" t="s">
        <v>958</v>
      </c>
      <c r="K433" t="s">
        <v>56</v>
      </c>
      <c r="L433">
        <v>0</v>
      </c>
      <c r="M433" t="s">
        <v>73</v>
      </c>
      <c r="N433">
        <v>0</v>
      </c>
      <c r="O433" t="s">
        <v>58</v>
      </c>
      <c r="P433" t="s">
        <v>59</v>
      </c>
      <c r="Q433" t="s">
        <v>959</v>
      </c>
      <c r="R433" t="s">
        <v>958</v>
      </c>
      <c r="S433" s="1">
        <v>44401</v>
      </c>
      <c r="T433" s="1">
        <v>44407</v>
      </c>
      <c r="U433">
        <v>37501</v>
      </c>
      <c r="V433" t="s">
        <v>61</v>
      </c>
      <c r="W433" t="s">
        <v>960</v>
      </c>
      <c r="X433" s="1">
        <v>44431</v>
      </c>
      <c r="Y433" t="s">
        <v>100</v>
      </c>
      <c r="Z433">
        <v>163.79</v>
      </c>
      <c r="AA433">
        <v>16</v>
      </c>
      <c r="AB433">
        <v>26.21</v>
      </c>
      <c r="AC433">
        <v>0</v>
      </c>
      <c r="AD433">
        <v>190</v>
      </c>
      <c r="AE433">
        <v>8026.01</v>
      </c>
      <c r="AF433">
        <v>7091</v>
      </c>
      <c r="AG433" t="s">
        <v>916</v>
      </c>
      <c r="AH433" t="s">
        <v>65</v>
      </c>
      <c r="AI433" t="s">
        <v>65</v>
      </c>
      <c r="AJ433" t="s">
        <v>66</v>
      </c>
      <c r="AK433" t="s">
        <v>66</v>
      </c>
      <c r="AL433" t="s">
        <v>66</v>
      </c>
      <c r="AM433" s="2" t="str">
        <f>HYPERLINK("https://transparencia.cidesi.mx/comprobantes/2021/CQ2100675 /C10aaa1b13c-af03-4d0f-aedb-2f2a0b10ea8a.pdf")</f>
        <v>https://transparencia.cidesi.mx/comprobantes/2021/CQ2100675 /C10aaa1b13c-af03-4d0f-aedb-2f2a0b10ea8a.pdf</v>
      </c>
      <c r="AN433" t="str">
        <f>HYPERLINK("https://transparencia.cidesi.mx/comprobantes/2021/CQ2100675 /C10aaa1b13c-af03-4d0f-aedb-2f2a0b10ea8a.pdf")</f>
        <v>https://transparencia.cidesi.mx/comprobantes/2021/CQ2100675 /C10aaa1b13c-af03-4d0f-aedb-2f2a0b10ea8a.pdf</v>
      </c>
      <c r="AO433" t="str">
        <f>HYPERLINK("https://transparencia.cidesi.mx/comprobantes/2021/CQ2100675 /C10aaa1b13c-af03-4d0f-aedb-2f2a0b10ea8a.xml")</f>
        <v>https://transparencia.cidesi.mx/comprobantes/2021/CQ2100675 /C10aaa1b13c-af03-4d0f-aedb-2f2a0b10ea8a.xml</v>
      </c>
      <c r="AP433" t="s">
        <v>962</v>
      </c>
      <c r="AQ433" t="s">
        <v>963</v>
      </c>
      <c r="AR433" t="s">
        <v>964</v>
      </c>
      <c r="AS433" t="s">
        <v>965</v>
      </c>
      <c r="AT433" s="1">
        <v>44435</v>
      </c>
      <c r="AU433" t="s">
        <v>73</v>
      </c>
    </row>
    <row r="434" spans="1:47" x14ac:dyDescent="0.3">
      <c r="A434" t="s">
        <v>246</v>
      </c>
      <c r="B434" t="s">
        <v>182</v>
      </c>
      <c r="C434" t="s">
        <v>183</v>
      </c>
      <c r="D434">
        <v>636</v>
      </c>
      <c r="E434" t="s">
        <v>910</v>
      </c>
      <c r="F434" t="s">
        <v>911</v>
      </c>
      <c r="G434" t="s">
        <v>912</v>
      </c>
      <c r="H434" t="s">
        <v>957</v>
      </c>
      <c r="I434" t="s">
        <v>54</v>
      </c>
      <c r="J434" t="s">
        <v>958</v>
      </c>
      <c r="K434" t="s">
        <v>56</v>
      </c>
      <c r="L434">
        <v>0</v>
      </c>
      <c r="M434" t="s">
        <v>73</v>
      </c>
      <c r="N434">
        <v>0</v>
      </c>
      <c r="O434" t="s">
        <v>58</v>
      </c>
      <c r="P434" t="s">
        <v>59</v>
      </c>
      <c r="Q434" t="s">
        <v>959</v>
      </c>
      <c r="R434" t="s">
        <v>958</v>
      </c>
      <c r="S434" s="1">
        <v>44401</v>
      </c>
      <c r="T434" s="1">
        <v>44407</v>
      </c>
      <c r="U434">
        <v>37501</v>
      </c>
      <c r="V434" t="s">
        <v>61</v>
      </c>
      <c r="W434" t="s">
        <v>960</v>
      </c>
      <c r="X434" s="1">
        <v>44431</v>
      </c>
      <c r="Y434" t="s">
        <v>100</v>
      </c>
      <c r="Z434">
        <v>138</v>
      </c>
      <c r="AA434">
        <v>0</v>
      </c>
      <c r="AB434">
        <v>0</v>
      </c>
      <c r="AC434">
        <v>0</v>
      </c>
      <c r="AD434">
        <v>138</v>
      </c>
      <c r="AE434">
        <v>8026.01</v>
      </c>
      <c r="AF434">
        <v>7091</v>
      </c>
      <c r="AG434" t="s">
        <v>916</v>
      </c>
      <c r="AH434" t="s">
        <v>65</v>
      </c>
      <c r="AI434" t="s">
        <v>66</v>
      </c>
      <c r="AJ434" t="s">
        <v>66</v>
      </c>
      <c r="AK434" t="s">
        <v>66</v>
      </c>
      <c r="AL434" t="s">
        <v>66</v>
      </c>
      <c r="AM434" s="2" t="s">
        <v>73</v>
      </c>
      <c r="AN434" t="s">
        <v>73</v>
      </c>
      <c r="AO434" t="s">
        <v>73</v>
      </c>
      <c r="AP434" t="s">
        <v>962</v>
      </c>
      <c r="AQ434" t="s">
        <v>963</v>
      </c>
      <c r="AR434" t="s">
        <v>964</v>
      </c>
      <c r="AS434" t="s">
        <v>965</v>
      </c>
      <c r="AT434" s="1">
        <v>44435</v>
      </c>
      <c r="AU434" t="s">
        <v>73</v>
      </c>
    </row>
    <row r="435" spans="1:47" x14ac:dyDescent="0.3">
      <c r="A435" t="s">
        <v>246</v>
      </c>
      <c r="B435" t="s">
        <v>182</v>
      </c>
      <c r="C435" t="s">
        <v>183</v>
      </c>
      <c r="D435">
        <v>636</v>
      </c>
      <c r="E435" t="s">
        <v>910</v>
      </c>
      <c r="F435" t="s">
        <v>911</v>
      </c>
      <c r="G435" t="s">
        <v>912</v>
      </c>
      <c r="H435" t="s">
        <v>957</v>
      </c>
      <c r="I435" t="s">
        <v>54</v>
      </c>
      <c r="J435" t="s">
        <v>958</v>
      </c>
      <c r="K435" t="s">
        <v>56</v>
      </c>
      <c r="L435">
        <v>0</v>
      </c>
      <c r="M435" t="s">
        <v>73</v>
      </c>
      <c r="N435">
        <v>0</v>
      </c>
      <c r="O435" t="s">
        <v>58</v>
      </c>
      <c r="P435" t="s">
        <v>59</v>
      </c>
      <c r="Q435" t="s">
        <v>959</v>
      </c>
      <c r="R435" t="s">
        <v>958</v>
      </c>
      <c r="S435" s="1">
        <v>44401</v>
      </c>
      <c r="T435" s="1">
        <v>44407</v>
      </c>
      <c r="U435">
        <v>37501</v>
      </c>
      <c r="V435" t="s">
        <v>61</v>
      </c>
      <c r="W435" t="s">
        <v>960</v>
      </c>
      <c r="X435" s="1">
        <v>44431</v>
      </c>
      <c r="Y435" t="s">
        <v>100</v>
      </c>
      <c r="Z435">
        <v>152</v>
      </c>
      <c r="AA435">
        <v>0</v>
      </c>
      <c r="AB435">
        <v>0</v>
      </c>
      <c r="AC435">
        <v>0</v>
      </c>
      <c r="AD435">
        <v>152</v>
      </c>
      <c r="AE435">
        <v>8026.01</v>
      </c>
      <c r="AF435">
        <v>7091</v>
      </c>
      <c r="AG435" t="s">
        <v>916</v>
      </c>
      <c r="AH435" t="s">
        <v>65</v>
      </c>
      <c r="AI435" t="s">
        <v>66</v>
      </c>
      <c r="AJ435" t="s">
        <v>66</v>
      </c>
      <c r="AK435" t="s">
        <v>66</v>
      </c>
      <c r="AL435" t="s">
        <v>66</v>
      </c>
      <c r="AM435" s="2" t="s">
        <v>73</v>
      </c>
      <c r="AN435" t="s">
        <v>73</v>
      </c>
      <c r="AO435" t="s">
        <v>73</v>
      </c>
      <c r="AP435" t="s">
        <v>962</v>
      </c>
      <c r="AQ435" t="s">
        <v>963</v>
      </c>
      <c r="AR435" t="s">
        <v>964</v>
      </c>
      <c r="AS435" t="s">
        <v>965</v>
      </c>
      <c r="AT435" s="1">
        <v>44435</v>
      </c>
      <c r="AU435" t="s">
        <v>73</v>
      </c>
    </row>
    <row r="436" spans="1:47" x14ac:dyDescent="0.3">
      <c r="A436" t="s">
        <v>246</v>
      </c>
      <c r="B436" t="s">
        <v>182</v>
      </c>
      <c r="C436" t="s">
        <v>183</v>
      </c>
      <c r="D436">
        <v>636</v>
      </c>
      <c r="E436" t="s">
        <v>910</v>
      </c>
      <c r="F436" t="s">
        <v>911</v>
      </c>
      <c r="G436" t="s">
        <v>912</v>
      </c>
      <c r="H436" t="s">
        <v>957</v>
      </c>
      <c r="I436" t="s">
        <v>54</v>
      </c>
      <c r="J436" t="s">
        <v>958</v>
      </c>
      <c r="K436" t="s">
        <v>56</v>
      </c>
      <c r="L436">
        <v>0</v>
      </c>
      <c r="M436" t="s">
        <v>73</v>
      </c>
      <c r="N436">
        <v>0</v>
      </c>
      <c r="O436" t="s">
        <v>58</v>
      </c>
      <c r="P436" t="s">
        <v>59</v>
      </c>
      <c r="Q436" t="s">
        <v>959</v>
      </c>
      <c r="R436" t="s">
        <v>958</v>
      </c>
      <c r="S436" s="1">
        <v>44401</v>
      </c>
      <c r="T436" s="1">
        <v>44407</v>
      </c>
      <c r="U436">
        <v>37501</v>
      </c>
      <c r="V436" t="s">
        <v>61</v>
      </c>
      <c r="W436" t="s">
        <v>960</v>
      </c>
      <c r="X436" s="1">
        <v>44431</v>
      </c>
      <c r="Y436" t="s">
        <v>100</v>
      </c>
      <c r="Z436">
        <v>18.88</v>
      </c>
      <c r="AA436">
        <v>16</v>
      </c>
      <c r="AB436">
        <v>3.02</v>
      </c>
      <c r="AC436">
        <v>0</v>
      </c>
      <c r="AD436">
        <v>21.9</v>
      </c>
      <c r="AE436">
        <v>8026.01</v>
      </c>
      <c r="AF436">
        <v>7091</v>
      </c>
      <c r="AG436" t="s">
        <v>916</v>
      </c>
      <c r="AH436" t="s">
        <v>65</v>
      </c>
      <c r="AI436" t="s">
        <v>65</v>
      </c>
      <c r="AJ436" t="s">
        <v>66</v>
      </c>
      <c r="AK436" t="s">
        <v>66</v>
      </c>
      <c r="AL436" t="s">
        <v>66</v>
      </c>
      <c r="AM436" s="2" t="str">
        <f>HYPERLINK("https://transparencia.cidesi.mx/comprobantes/2021/CQ2100675 /C13FACTURA_1627707976026_339385533.pdf")</f>
        <v>https://transparencia.cidesi.mx/comprobantes/2021/CQ2100675 /C13FACTURA_1627707976026_339385533.pdf</v>
      </c>
      <c r="AN436" t="str">
        <f>HYPERLINK("https://transparencia.cidesi.mx/comprobantes/2021/CQ2100675 /C13FACTURA_1627707976026_339385533.pdf")</f>
        <v>https://transparencia.cidesi.mx/comprobantes/2021/CQ2100675 /C13FACTURA_1627707976026_339385533.pdf</v>
      </c>
      <c r="AO436" t="str">
        <f>HYPERLINK("https://transparencia.cidesi.mx/comprobantes/2021/CQ2100675 /C13FACTURA_1627707976026_339385533.xml")</f>
        <v>https://transparencia.cidesi.mx/comprobantes/2021/CQ2100675 /C13FACTURA_1627707976026_339385533.xml</v>
      </c>
      <c r="AP436" t="s">
        <v>962</v>
      </c>
      <c r="AQ436" t="s">
        <v>963</v>
      </c>
      <c r="AR436" t="s">
        <v>964</v>
      </c>
      <c r="AS436" t="s">
        <v>965</v>
      </c>
      <c r="AT436" s="1">
        <v>44435</v>
      </c>
      <c r="AU436" t="s">
        <v>73</v>
      </c>
    </row>
    <row r="437" spans="1:47" x14ac:dyDescent="0.3">
      <c r="A437" t="s">
        <v>246</v>
      </c>
      <c r="B437" t="s">
        <v>182</v>
      </c>
      <c r="C437" t="s">
        <v>183</v>
      </c>
      <c r="D437">
        <v>636</v>
      </c>
      <c r="E437" t="s">
        <v>910</v>
      </c>
      <c r="F437" t="s">
        <v>911</v>
      </c>
      <c r="G437" t="s">
        <v>912</v>
      </c>
      <c r="H437" t="s">
        <v>957</v>
      </c>
      <c r="I437" t="s">
        <v>54</v>
      </c>
      <c r="J437" t="s">
        <v>958</v>
      </c>
      <c r="K437" t="s">
        <v>56</v>
      </c>
      <c r="L437">
        <v>0</v>
      </c>
      <c r="M437" t="s">
        <v>73</v>
      </c>
      <c r="N437">
        <v>0</v>
      </c>
      <c r="O437" t="s">
        <v>58</v>
      </c>
      <c r="P437" t="s">
        <v>59</v>
      </c>
      <c r="Q437" t="s">
        <v>959</v>
      </c>
      <c r="R437" t="s">
        <v>958</v>
      </c>
      <c r="S437" s="1">
        <v>44401</v>
      </c>
      <c r="T437" s="1">
        <v>44407</v>
      </c>
      <c r="U437">
        <v>37501</v>
      </c>
      <c r="V437" t="s">
        <v>61</v>
      </c>
      <c r="W437" t="s">
        <v>960</v>
      </c>
      <c r="X437" s="1">
        <v>44431</v>
      </c>
      <c r="Y437" t="s">
        <v>100</v>
      </c>
      <c r="Z437">
        <v>182.84</v>
      </c>
      <c r="AA437">
        <v>16</v>
      </c>
      <c r="AB437">
        <v>18.52</v>
      </c>
      <c r="AC437">
        <v>1.44</v>
      </c>
      <c r="AD437">
        <v>202.8</v>
      </c>
      <c r="AE437">
        <v>8026.01</v>
      </c>
      <c r="AF437">
        <v>7091</v>
      </c>
      <c r="AG437" t="s">
        <v>916</v>
      </c>
      <c r="AH437" t="s">
        <v>65</v>
      </c>
      <c r="AI437" t="s">
        <v>65</v>
      </c>
      <c r="AJ437" t="s">
        <v>66</v>
      </c>
      <c r="AK437" t="s">
        <v>66</v>
      </c>
      <c r="AL437" t="s">
        <v>66</v>
      </c>
      <c r="AM437" s="2" t="str">
        <f>HYPERLINK("https://transparencia.cidesi.mx/comprobantes/2021/CQ2100675 /C14FACTURA_1627706573379_339382399.pdf")</f>
        <v>https://transparencia.cidesi.mx/comprobantes/2021/CQ2100675 /C14FACTURA_1627706573379_339382399.pdf</v>
      </c>
      <c r="AN437" t="str">
        <f>HYPERLINK("https://transparencia.cidesi.mx/comprobantes/2021/CQ2100675 /C14FACTURA_1627706573379_339382399.pdf")</f>
        <v>https://transparencia.cidesi.mx/comprobantes/2021/CQ2100675 /C14FACTURA_1627706573379_339382399.pdf</v>
      </c>
      <c r="AO437" t="str">
        <f>HYPERLINK("https://transparencia.cidesi.mx/comprobantes/2021/CQ2100675 /C14FACTURA_1627706573379_339382399.xml")</f>
        <v>https://transparencia.cidesi.mx/comprobantes/2021/CQ2100675 /C14FACTURA_1627706573379_339382399.xml</v>
      </c>
      <c r="AP437" t="s">
        <v>962</v>
      </c>
      <c r="AQ437" t="s">
        <v>963</v>
      </c>
      <c r="AR437" t="s">
        <v>964</v>
      </c>
      <c r="AS437" t="s">
        <v>965</v>
      </c>
      <c r="AT437" s="1">
        <v>44435</v>
      </c>
      <c r="AU437" t="s">
        <v>73</v>
      </c>
    </row>
    <row r="438" spans="1:47" x14ac:dyDescent="0.3">
      <c r="A438" t="s">
        <v>246</v>
      </c>
      <c r="B438" t="s">
        <v>182</v>
      </c>
      <c r="C438" t="s">
        <v>183</v>
      </c>
      <c r="D438">
        <v>636</v>
      </c>
      <c r="E438" t="s">
        <v>910</v>
      </c>
      <c r="F438" t="s">
        <v>911</v>
      </c>
      <c r="G438" t="s">
        <v>912</v>
      </c>
      <c r="H438" t="s">
        <v>957</v>
      </c>
      <c r="I438" t="s">
        <v>54</v>
      </c>
      <c r="J438" t="s">
        <v>958</v>
      </c>
      <c r="K438" t="s">
        <v>56</v>
      </c>
      <c r="L438">
        <v>0</v>
      </c>
      <c r="M438" t="s">
        <v>73</v>
      </c>
      <c r="N438">
        <v>0</v>
      </c>
      <c r="O438" t="s">
        <v>58</v>
      </c>
      <c r="P438" t="s">
        <v>59</v>
      </c>
      <c r="Q438" t="s">
        <v>959</v>
      </c>
      <c r="R438" t="s">
        <v>958</v>
      </c>
      <c r="S438" s="1">
        <v>44401</v>
      </c>
      <c r="T438" s="1">
        <v>44407</v>
      </c>
      <c r="U438">
        <v>37501</v>
      </c>
      <c r="V438" t="s">
        <v>61</v>
      </c>
      <c r="W438" t="s">
        <v>960</v>
      </c>
      <c r="X438" s="1">
        <v>44431</v>
      </c>
      <c r="Y438" t="s">
        <v>100</v>
      </c>
      <c r="Z438">
        <v>100.72</v>
      </c>
      <c r="AA438">
        <v>16</v>
      </c>
      <c r="AB438">
        <v>10.68</v>
      </c>
      <c r="AC438">
        <v>0</v>
      </c>
      <c r="AD438">
        <v>111.4</v>
      </c>
      <c r="AE438">
        <v>8026.01</v>
      </c>
      <c r="AF438">
        <v>7091</v>
      </c>
      <c r="AG438" t="s">
        <v>916</v>
      </c>
      <c r="AH438" t="s">
        <v>65</v>
      </c>
      <c r="AI438" t="s">
        <v>65</v>
      </c>
      <c r="AJ438" t="s">
        <v>66</v>
      </c>
      <c r="AK438" t="s">
        <v>66</v>
      </c>
      <c r="AL438" t="s">
        <v>66</v>
      </c>
      <c r="AM438" s="2" t="str">
        <f>HYPERLINK("https://transparencia.cidesi.mx/comprobantes/2021/CQ2100675 /C15FACTURA_1627708314996_339386075.pdf")</f>
        <v>https://transparencia.cidesi.mx/comprobantes/2021/CQ2100675 /C15FACTURA_1627708314996_339386075.pdf</v>
      </c>
      <c r="AN438" t="str">
        <f>HYPERLINK("https://transparencia.cidesi.mx/comprobantes/2021/CQ2100675 /C15FACTURA_1627708314996_339386075.pdf")</f>
        <v>https://transparencia.cidesi.mx/comprobantes/2021/CQ2100675 /C15FACTURA_1627708314996_339386075.pdf</v>
      </c>
      <c r="AO438" t="str">
        <f>HYPERLINK("https://transparencia.cidesi.mx/comprobantes/2021/CQ2100675 /C15FACTURA_1627708314996_339386075.xml")</f>
        <v>https://transparencia.cidesi.mx/comprobantes/2021/CQ2100675 /C15FACTURA_1627708314996_339386075.xml</v>
      </c>
      <c r="AP438" t="s">
        <v>962</v>
      </c>
      <c r="AQ438" t="s">
        <v>963</v>
      </c>
      <c r="AR438" t="s">
        <v>964</v>
      </c>
      <c r="AS438" t="s">
        <v>965</v>
      </c>
      <c r="AT438" s="1">
        <v>44435</v>
      </c>
      <c r="AU438" t="s">
        <v>73</v>
      </c>
    </row>
    <row r="439" spans="1:47" x14ac:dyDescent="0.3">
      <c r="A439" t="s">
        <v>246</v>
      </c>
      <c r="B439" t="s">
        <v>182</v>
      </c>
      <c r="C439" t="s">
        <v>183</v>
      </c>
      <c r="D439">
        <v>636</v>
      </c>
      <c r="E439" t="s">
        <v>910</v>
      </c>
      <c r="F439" t="s">
        <v>911</v>
      </c>
      <c r="G439" t="s">
        <v>912</v>
      </c>
      <c r="H439" t="s">
        <v>957</v>
      </c>
      <c r="I439" t="s">
        <v>54</v>
      </c>
      <c r="J439" t="s">
        <v>958</v>
      </c>
      <c r="K439" t="s">
        <v>56</v>
      </c>
      <c r="L439">
        <v>0</v>
      </c>
      <c r="M439" t="s">
        <v>73</v>
      </c>
      <c r="N439">
        <v>0</v>
      </c>
      <c r="O439" t="s">
        <v>58</v>
      </c>
      <c r="P439" t="s">
        <v>59</v>
      </c>
      <c r="Q439" t="s">
        <v>959</v>
      </c>
      <c r="R439" t="s">
        <v>958</v>
      </c>
      <c r="S439" s="1">
        <v>44401</v>
      </c>
      <c r="T439" s="1">
        <v>44407</v>
      </c>
      <c r="U439">
        <v>37501</v>
      </c>
      <c r="V439" t="s">
        <v>61</v>
      </c>
      <c r="W439" t="s">
        <v>960</v>
      </c>
      <c r="X439" s="1">
        <v>44431</v>
      </c>
      <c r="Y439" t="s">
        <v>100</v>
      </c>
      <c r="Z439">
        <v>217.24</v>
      </c>
      <c r="AA439">
        <v>16</v>
      </c>
      <c r="AB439">
        <v>34.76</v>
      </c>
      <c r="AC439">
        <v>0</v>
      </c>
      <c r="AD439">
        <v>252</v>
      </c>
      <c r="AE439">
        <v>8026.01</v>
      </c>
      <c r="AF439">
        <v>7091</v>
      </c>
      <c r="AG439" t="s">
        <v>916</v>
      </c>
      <c r="AH439" t="s">
        <v>65</v>
      </c>
      <c r="AI439" t="s">
        <v>65</v>
      </c>
      <c r="AJ439" t="s">
        <v>66</v>
      </c>
      <c r="AK439" t="s">
        <v>66</v>
      </c>
      <c r="AL439" t="s">
        <v>66</v>
      </c>
      <c r="AM439" s="2" t="str">
        <f>HYPERLINK("https://transparencia.cidesi.mx/comprobantes/2021/CQ2100675 /C16003-RV-00021427.pdf")</f>
        <v>https://transparencia.cidesi.mx/comprobantes/2021/CQ2100675 /C16003-RV-00021427.pdf</v>
      </c>
      <c r="AN439" t="str">
        <f>HYPERLINK("https://transparencia.cidesi.mx/comprobantes/2021/CQ2100675 /C16003-RV-00021427.pdf")</f>
        <v>https://transparencia.cidesi.mx/comprobantes/2021/CQ2100675 /C16003-RV-00021427.pdf</v>
      </c>
      <c r="AO439" t="str">
        <f>HYPERLINK("https://transparencia.cidesi.mx/comprobantes/2021/CQ2100675 /C16003-RV-00021427.xml")</f>
        <v>https://transparencia.cidesi.mx/comprobantes/2021/CQ2100675 /C16003-RV-00021427.xml</v>
      </c>
      <c r="AP439" t="s">
        <v>962</v>
      </c>
      <c r="AQ439" t="s">
        <v>963</v>
      </c>
      <c r="AR439" t="s">
        <v>964</v>
      </c>
      <c r="AS439" t="s">
        <v>965</v>
      </c>
      <c r="AT439" s="1">
        <v>44435</v>
      </c>
      <c r="AU439" t="s">
        <v>73</v>
      </c>
    </row>
    <row r="440" spans="1:47" x14ac:dyDescent="0.3">
      <c r="A440" t="s">
        <v>246</v>
      </c>
      <c r="B440" t="s">
        <v>182</v>
      </c>
      <c r="C440" t="s">
        <v>183</v>
      </c>
      <c r="D440">
        <v>636</v>
      </c>
      <c r="E440" t="s">
        <v>910</v>
      </c>
      <c r="F440" t="s">
        <v>911</v>
      </c>
      <c r="G440" t="s">
        <v>912</v>
      </c>
      <c r="H440" t="s">
        <v>957</v>
      </c>
      <c r="I440" t="s">
        <v>54</v>
      </c>
      <c r="J440" t="s">
        <v>958</v>
      </c>
      <c r="K440" t="s">
        <v>56</v>
      </c>
      <c r="L440">
        <v>0</v>
      </c>
      <c r="M440" t="s">
        <v>73</v>
      </c>
      <c r="N440">
        <v>0</v>
      </c>
      <c r="O440" t="s">
        <v>58</v>
      </c>
      <c r="P440" t="s">
        <v>59</v>
      </c>
      <c r="Q440" t="s">
        <v>959</v>
      </c>
      <c r="R440" t="s">
        <v>958</v>
      </c>
      <c r="S440" s="1">
        <v>44401</v>
      </c>
      <c r="T440" s="1">
        <v>44407</v>
      </c>
      <c r="U440">
        <v>37501</v>
      </c>
      <c r="V440" t="s">
        <v>104</v>
      </c>
      <c r="W440" t="s">
        <v>960</v>
      </c>
      <c r="X440" s="1">
        <v>44431</v>
      </c>
      <c r="Y440" t="s">
        <v>100</v>
      </c>
      <c r="Z440">
        <v>319.33</v>
      </c>
      <c r="AA440">
        <v>16</v>
      </c>
      <c r="AB440">
        <v>51.09</v>
      </c>
      <c r="AC440">
        <v>9.58</v>
      </c>
      <c r="AD440">
        <v>380</v>
      </c>
      <c r="AE440">
        <v>8026.01</v>
      </c>
      <c r="AF440">
        <v>7091</v>
      </c>
      <c r="AG440" t="s">
        <v>966</v>
      </c>
      <c r="AH440" t="s">
        <v>65</v>
      </c>
      <c r="AI440" t="s">
        <v>65</v>
      </c>
      <c r="AJ440" t="s">
        <v>66</v>
      </c>
      <c r="AK440" t="s">
        <v>66</v>
      </c>
      <c r="AL440" t="s">
        <v>66</v>
      </c>
      <c r="AM440" s="2" t="str">
        <f>HYPERLINK("https://transparencia.cidesi.mx/comprobantes/2021/CQ2100675 /C18CID840309UG7FA0000004146.pdf")</f>
        <v>https://transparencia.cidesi.mx/comprobantes/2021/CQ2100675 /C18CID840309UG7FA0000004146.pdf</v>
      </c>
      <c r="AN440" t="str">
        <f>HYPERLINK("https://transparencia.cidesi.mx/comprobantes/2021/CQ2100675 /C18CID840309UG7FA0000004146.pdf")</f>
        <v>https://transparencia.cidesi.mx/comprobantes/2021/CQ2100675 /C18CID840309UG7FA0000004146.pdf</v>
      </c>
      <c r="AO440" t="str">
        <f>HYPERLINK("https://transparencia.cidesi.mx/comprobantes/2021/CQ2100675 /C18CID840309UG7FA0000004146.xml")</f>
        <v>https://transparencia.cidesi.mx/comprobantes/2021/CQ2100675 /C18CID840309UG7FA0000004146.xml</v>
      </c>
      <c r="AP440" t="s">
        <v>962</v>
      </c>
      <c r="AQ440" t="s">
        <v>963</v>
      </c>
      <c r="AR440" t="s">
        <v>964</v>
      </c>
      <c r="AS440" t="s">
        <v>965</v>
      </c>
      <c r="AT440" s="1">
        <v>44435</v>
      </c>
      <c r="AU440" t="s">
        <v>73</v>
      </c>
    </row>
    <row r="441" spans="1:47" x14ac:dyDescent="0.3">
      <c r="A441" t="s">
        <v>246</v>
      </c>
      <c r="B441" t="s">
        <v>182</v>
      </c>
      <c r="C441" t="s">
        <v>183</v>
      </c>
      <c r="D441">
        <v>636</v>
      </c>
      <c r="E441" t="s">
        <v>910</v>
      </c>
      <c r="F441" t="s">
        <v>911</v>
      </c>
      <c r="G441" t="s">
        <v>912</v>
      </c>
      <c r="H441" t="s">
        <v>957</v>
      </c>
      <c r="I441" t="s">
        <v>54</v>
      </c>
      <c r="J441" t="s">
        <v>958</v>
      </c>
      <c r="K441" t="s">
        <v>56</v>
      </c>
      <c r="L441">
        <v>0</v>
      </c>
      <c r="M441" t="s">
        <v>73</v>
      </c>
      <c r="N441">
        <v>0</v>
      </c>
      <c r="O441" t="s">
        <v>58</v>
      </c>
      <c r="P441" t="s">
        <v>59</v>
      </c>
      <c r="Q441" t="s">
        <v>959</v>
      </c>
      <c r="R441" t="s">
        <v>958</v>
      </c>
      <c r="S441" s="1">
        <v>44401</v>
      </c>
      <c r="T441" s="1">
        <v>44407</v>
      </c>
      <c r="U441">
        <v>37501</v>
      </c>
      <c r="V441" t="s">
        <v>61</v>
      </c>
      <c r="W441" t="s">
        <v>960</v>
      </c>
      <c r="X441" s="1">
        <v>44431</v>
      </c>
      <c r="Y441" t="s">
        <v>100</v>
      </c>
      <c r="Z441">
        <v>314.66000000000003</v>
      </c>
      <c r="AA441">
        <v>16</v>
      </c>
      <c r="AB441">
        <v>50.34</v>
      </c>
      <c r="AC441">
        <v>0</v>
      </c>
      <c r="AD441">
        <v>365</v>
      </c>
      <c r="AE441">
        <v>8026.01</v>
      </c>
      <c r="AF441">
        <v>7091</v>
      </c>
      <c r="AG441" t="s">
        <v>916</v>
      </c>
      <c r="AH441" t="s">
        <v>65</v>
      </c>
      <c r="AI441" t="s">
        <v>65</v>
      </c>
      <c r="AJ441" t="s">
        <v>66</v>
      </c>
      <c r="AK441" t="s">
        <v>66</v>
      </c>
      <c r="AL441" t="s">
        <v>66</v>
      </c>
      <c r="AM441" s="2" t="str">
        <f>HYPERLINK("https://transparencia.cidesi.mx/comprobantes/2021/CQ2100675 /C19CEHE770525FR4-A-2822.pdf")</f>
        <v>https://transparencia.cidesi.mx/comprobantes/2021/CQ2100675 /C19CEHE770525FR4-A-2822.pdf</v>
      </c>
      <c r="AN441" t="str">
        <f>HYPERLINK("https://transparencia.cidesi.mx/comprobantes/2021/CQ2100675 /C19CEHE770525FR4-A-2822.pdf")</f>
        <v>https://transparencia.cidesi.mx/comprobantes/2021/CQ2100675 /C19CEHE770525FR4-A-2822.pdf</v>
      </c>
      <c r="AO441" t="str">
        <f>HYPERLINK("https://transparencia.cidesi.mx/comprobantes/2021/CQ2100675 /C19CEHE770525FR4-A-2822.xml")</f>
        <v>https://transparencia.cidesi.mx/comprobantes/2021/CQ2100675 /C19CEHE770525FR4-A-2822.xml</v>
      </c>
      <c r="AP441" t="s">
        <v>962</v>
      </c>
      <c r="AQ441" t="s">
        <v>963</v>
      </c>
      <c r="AR441" t="s">
        <v>964</v>
      </c>
      <c r="AS441" t="s">
        <v>965</v>
      </c>
      <c r="AT441" s="1">
        <v>44435</v>
      </c>
      <c r="AU441" t="s">
        <v>73</v>
      </c>
    </row>
    <row r="442" spans="1:47" x14ac:dyDescent="0.3">
      <c r="A442" t="s">
        <v>246</v>
      </c>
      <c r="B442" t="s">
        <v>182</v>
      </c>
      <c r="C442" t="s">
        <v>183</v>
      </c>
      <c r="D442">
        <v>636</v>
      </c>
      <c r="E442" t="s">
        <v>910</v>
      </c>
      <c r="F442" t="s">
        <v>911</v>
      </c>
      <c r="G442" t="s">
        <v>912</v>
      </c>
      <c r="H442" t="s">
        <v>957</v>
      </c>
      <c r="I442" t="s">
        <v>54</v>
      </c>
      <c r="J442" t="s">
        <v>958</v>
      </c>
      <c r="K442" t="s">
        <v>56</v>
      </c>
      <c r="L442">
        <v>0</v>
      </c>
      <c r="M442" t="s">
        <v>73</v>
      </c>
      <c r="N442">
        <v>0</v>
      </c>
      <c r="O442" t="s">
        <v>58</v>
      </c>
      <c r="P442" t="s">
        <v>59</v>
      </c>
      <c r="Q442" t="s">
        <v>959</v>
      </c>
      <c r="R442" t="s">
        <v>958</v>
      </c>
      <c r="S442" s="1">
        <v>44401</v>
      </c>
      <c r="T442" s="1">
        <v>44407</v>
      </c>
      <c r="U442">
        <v>37501</v>
      </c>
      <c r="V442" t="s">
        <v>61</v>
      </c>
      <c r="W442" t="s">
        <v>960</v>
      </c>
      <c r="X442" s="1">
        <v>44431</v>
      </c>
      <c r="Y442" t="s">
        <v>100</v>
      </c>
      <c r="Z442">
        <v>272.41000000000003</v>
      </c>
      <c r="AA442">
        <v>16</v>
      </c>
      <c r="AB442">
        <v>43.59</v>
      </c>
      <c r="AC442">
        <v>0</v>
      </c>
      <c r="AD442">
        <v>316</v>
      </c>
      <c r="AE442">
        <v>8026.01</v>
      </c>
      <c r="AF442">
        <v>7091</v>
      </c>
      <c r="AG442" t="s">
        <v>916</v>
      </c>
      <c r="AH442" t="s">
        <v>65</v>
      </c>
      <c r="AI442" t="s">
        <v>65</v>
      </c>
      <c r="AJ442" t="s">
        <v>66</v>
      </c>
      <c r="AK442" t="s">
        <v>66</v>
      </c>
      <c r="AL442" t="s">
        <v>66</v>
      </c>
      <c r="AM442" s="2" t="str">
        <f>HYPERLINK("https://transparencia.cidesi.mx/comprobantes/2021/CQ2100675 /C20CID840309UG7F0000039799.pdf")</f>
        <v>https://transparencia.cidesi.mx/comprobantes/2021/CQ2100675 /C20CID840309UG7F0000039799.pdf</v>
      </c>
      <c r="AN442" t="str">
        <f>HYPERLINK("https://transparencia.cidesi.mx/comprobantes/2021/CQ2100675 /C20CID840309UG7F0000039799.pdf")</f>
        <v>https://transparencia.cidesi.mx/comprobantes/2021/CQ2100675 /C20CID840309UG7F0000039799.pdf</v>
      </c>
      <c r="AO442" t="str">
        <f>HYPERLINK("https://transparencia.cidesi.mx/comprobantes/2021/CQ2100675 /C20CID840309UG7F0000039799.xml")</f>
        <v>https://transparencia.cidesi.mx/comprobantes/2021/CQ2100675 /C20CID840309UG7F0000039799.xml</v>
      </c>
      <c r="AP442" t="s">
        <v>962</v>
      </c>
      <c r="AQ442" t="s">
        <v>963</v>
      </c>
      <c r="AR442" t="s">
        <v>964</v>
      </c>
      <c r="AS442" t="s">
        <v>965</v>
      </c>
      <c r="AT442" s="1">
        <v>44435</v>
      </c>
      <c r="AU442" t="s">
        <v>73</v>
      </c>
    </row>
    <row r="443" spans="1:47" x14ac:dyDescent="0.3">
      <c r="A443" t="s">
        <v>246</v>
      </c>
      <c r="B443" t="s">
        <v>182</v>
      </c>
      <c r="C443" t="s">
        <v>183</v>
      </c>
      <c r="D443">
        <v>636</v>
      </c>
      <c r="E443" t="s">
        <v>910</v>
      </c>
      <c r="F443" t="s">
        <v>911</v>
      </c>
      <c r="G443" t="s">
        <v>912</v>
      </c>
      <c r="H443" t="s">
        <v>957</v>
      </c>
      <c r="I443" t="s">
        <v>54</v>
      </c>
      <c r="J443" t="s">
        <v>958</v>
      </c>
      <c r="K443" t="s">
        <v>56</v>
      </c>
      <c r="L443">
        <v>0</v>
      </c>
      <c r="M443" t="s">
        <v>73</v>
      </c>
      <c r="N443">
        <v>0</v>
      </c>
      <c r="O443" t="s">
        <v>58</v>
      </c>
      <c r="P443" t="s">
        <v>59</v>
      </c>
      <c r="Q443" t="s">
        <v>959</v>
      </c>
      <c r="R443" t="s">
        <v>958</v>
      </c>
      <c r="S443" s="1">
        <v>44401</v>
      </c>
      <c r="T443" s="1">
        <v>44407</v>
      </c>
      <c r="U443">
        <v>37501</v>
      </c>
      <c r="V443" t="s">
        <v>94</v>
      </c>
      <c r="W443" t="s">
        <v>960</v>
      </c>
      <c r="X443" s="1">
        <v>44431</v>
      </c>
      <c r="Y443" t="s">
        <v>100</v>
      </c>
      <c r="Z443">
        <v>106.9</v>
      </c>
      <c r="AA443">
        <v>16</v>
      </c>
      <c r="AB443">
        <v>17.100000000000001</v>
      </c>
      <c r="AC443">
        <v>0</v>
      </c>
      <c r="AD443">
        <v>124</v>
      </c>
      <c r="AE443">
        <v>8026.01</v>
      </c>
      <c r="AF443">
        <v>7091</v>
      </c>
      <c r="AG443" t="s">
        <v>961</v>
      </c>
      <c r="AH443" t="s">
        <v>66</v>
      </c>
      <c r="AI443" t="s">
        <v>65</v>
      </c>
      <c r="AJ443" t="s">
        <v>66</v>
      </c>
      <c r="AK443" t="s">
        <v>66</v>
      </c>
      <c r="AL443" t="s">
        <v>66</v>
      </c>
      <c r="AM443" s="2" t="str">
        <f>HYPERLINK("https://transparencia.cidesi.mx/comprobantes/2021/CQ2100675 /C21CSA171003QCA_7f627596-3fc8-4c09-bc65-421a85c4711a.pdf")</f>
        <v>https://transparencia.cidesi.mx/comprobantes/2021/CQ2100675 /C21CSA171003QCA_7f627596-3fc8-4c09-bc65-421a85c4711a.pdf</v>
      </c>
      <c r="AN443" t="str">
        <f>HYPERLINK("https://transparencia.cidesi.mx/comprobantes/2021/CQ2100675 /C21CSA171003QCA_7f627596-3fc8-4c09-bc65-421a85c4711a.pdf")</f>
        <v>https://transparencia.cidesi.mx/comprobantes/2021/CQ2100675 /C21CSA171003QCA_7f627596-3fc8-4c09-bc65-421a85c4711a.pdf</v>
      </c>
      <c r="AO443" t="str">
        <f>HYPERLINK("https://transparencia.cidesi.mx/comprobantes/2021/CQ2100675 /C21CSA171003QCA_7f627596-3fc8-4c09-bc65-421a85c4711a.xml")</f>
        <v>https://transparencia.cidesi.mx/comprobantes/2021/CQ2100675 /C21CSA171003QCA_7f627596-3fc8-4c09-bc65-421a85c4711a.xml</v>
      </c>
      <c r="AP443" t="s">
        <v>962</v>
      </c>
      <c r="AQ443" t="s">
        <v>963</v>
      </c>
      <c r="AR443" t="s">
        <v>964</v>
      </c>
      <c r="AS443" t="s">
        <v>965</v>
      </c>
      <c r="AT443" s="1">
        <v>44435</v>
      </c>
      <c r="AU443" t="s">
        <v>73</v>
      </c>
    </row>
    <row r="444" spans="1:47" x14ac:dyDescent="0.3">
      <c r="A444" t="s">
        <v>246</v>
      </c>
      <c r="B444" t="s">
        <v>182</v>
      </c>
      <c r="C444" t="s">
        <v>183</v>
      </c>
      <c r="D444">
        <v>636</v>
      </c>
      <c r="E444" t="s">
        <v>910</v>
      </c>
      <c r="F444" t="s">
        <v>911</v>
      </c>
      <c r="G444" t="s">
        <v>912</v>
      </c>
      <c r="H444" t="s">
        <v>957</v>
      </c>
      <c r="I444" t="s">
        <v>54</v>
      </c>
      <c r="J444" t="s">
        <v>958</v>
      </c>
      <c r="K444" t="s">
        <v>56</v>
      </c>
      <c r="L444">
        <v>0</v>
      </c>
      <c r="M444" t="s">
        <v>73</v>
      </c>
      <c r="N444">
        <v>0</v>
      </c>
      <c r="O444" t="s">
        <v>58</v>
      </c>
      <c r="P444" t="s">
        <v>59</v>
      </c>
      <c r="Q444" t="s">
        <v>959</v>
      </c>
      <c r="R444" t="s">
        <v>958</v>
      </c>
      <c r="S444" s="1">
        <v>44401</v>
      </c>
      <c r="T444" s="1">
        <v>44407</v>
      </c>
      <c r="U444">
        <v>37501</v>
      </c>
      <c r="V444" t="s">
        <v>94</v>
      </c>
      <c r="W444" t="s">
        <v>960</v>
      </c>
      <c r="X444" s="1">
        <v>44431</v>
      </c>
      <c r="Y444" t="s">
        <v>100</v>
      </c>
      <c r="Z444">
        <v>77</v>
      </c>
      <c r="AA444">
        <v>0</v>
      </c>
      <c r="AB444">
        <v>0</v>
      </c>
      <c r="AC444">
        <v>0</v>
      </c>
      <c r="AD444">
        <v>77</v>
      </c>
      <c r="AE444">
        <v>8026.01</v>
      </c>
      <c r="AF444">
        <v>7091</v>
      </c>
      <c r="AG444" t="s">
        <v>961</v>
      </c>
      <c r="AH444" t="s">
        <v>66</v>
      </c>
      <c r="AI444" t="s">
        <v>66</v>
      </c>
      <c r="AJ444" t="s">
        <v>66</v>
      </c>
      <c r="AK444" t="s">
        <v>66</v>
      </c>
      <c r="AL444" t="s">
        <v>66</v>
      </c>
      <c r="AM444" s="2" t="s">
        <v>73</v>
      </c>
      <c r="AN444" t="s">
        <v>73</v>
      </c>
      <c r="AO444" t="s">
        <v>73</v>
      </c>
      <c r="AP444" t="s">
        <v>962</v>
      </c>
      <c r="AQ444" t="s">
        <v>963</v>
      </c>
      <c r="AR444" t="s">
        <v>964</v>
      </c>
      <c r="AS444" t="s">
        <v>965</v>
      </c>
      <c r="AT444" s="1">
        <v>44435</v>
      </c>
      <c r="AU444" t="s">
        <v>73</v>
      </c>
    </row>
    <row r="445" spans="1:47" x14ac:dyDescent="0.3">
      <c r="A445" t="s">
        <v>246</v>
      </c>
      <c r="B445" t="s">
        <v>182</v>
      </c>
      <c r="C445" t="s">
        <v>183</v>
      </c>
      <c r="D445">
        <v>636</v>
      </c>
      <c r="E445" t="s">
        <v>910</v>
      </c>
      <c r="F445" t="s">
        <v>911</v>
      </c>
      <c r="G445" t="s">
        <v>912</v>
      </c>
      <c r="H445" t="s">
        <v>957</v>
      </c>
      <c r="I445" t="s">
        <v>54</v>
      </c>
      <c r="J445" t="s">
        <v>958</v>
      </c>
      <c r="K445" t="s">
        <v>56</v>
      </c>
      <c r="L445">
        <v>0</v>
      </c>
      <c r="M445" t="s">
        <v>73</v>
      </c>
      <c r="N445">
        <v>0</v>
      </c>
      <c r="O445" t="s">
        <v>58</v>
      </c>
      <c r="P445" t="s">
        <v>59</v>
      </c>
      <c r="Q445" t="s">
        <v>959</v>
      </c>
      <c r="R445" t="s">
        <v>958</v>
      </c>
      <c r="S445" s="1">
        <v>44401</v>
      </c>
      <c r="T445" s="1">
        <v>44407</v>
      </c>
      <c r="U445">
        <v>37501</v>
      </c>
      <c r="V445" t="s">
        <v>94</v>
      </c>
      <c r="W445" t="s">
        <v>960</v>
      </c>
      <c r="X445" s="1">
        <v>44431</v>
      </c>
      <c r="Y445" t="s">
        <v>100</v>
      </c>
      <c r="Z445">
        <v>77</v>
      </c>
      <c r="AA445">
        <v>0</v>
      </c>
      <c r="AB445">
        <v>0</v>
      </c>
      <c r="AC445">
        <v>0</v>
      </c>
      <c r="AD445">
        <v>77</v>
      </c>
      <c r="AE445">
        <v>8026.01</v>
      </c>
      <c r="AF445">
        <v>7091</v>
      </c>
      <c r="AG445" t="s">
        <v>961</v>
      </c>
      <c r="AH445" t="s">
        <v>66</v>
      </c>
      <c r="AI445" t="s">
        <v>66</v>
      </c>
      <c r="AJ445" t="s">
        <v>66</v>
      </c>
      <c r="AK445" t="s">
        <v>66</v>
      </c>
      <c r="AL445" t="s">
        <v>66</v>
      </c>
      <c r="AM445" s="2" t="s">
        <v>73</v>
      </c>
      <c r="AN445" t="s">
        <v>73</v>
      </c>
      <c r="AO445" t="s">
        <v>73</v>
      </c>
      <c r="AP445" t="s">
        <v>962</v>
      </c>
      <c r="AQ445" t="s">
        <v>963</v>
      </c>
      <c r="AR445" t="s">
        <v>964</v>
      </c>
      <c r="AS445" t="s">
        <v>965</v>
      </c>
      <c r="AT445" s="1">
        <v>44435</v>
      </c>
      <c r="AU445" t="s">
        <v>73</v>
      </c>
    </row>
    <row r="446" spans="1:47" x14ac:dyDescent="0.3">
      <c r="A446" t="s">
        <v>246</v>
      </c>
      <c r="B446" t="s">
        <v>182</v>
      </c>
      <c r="C446" t="s">
        <v>183</v>
      </c>
      <c r="D446">
        <v>636</v>
      </c>
      <c r="E446" t="s">
        <v>910</v>
      </c>
      <c r="F446" t="s">
        <v>911</v>
      </c>
      <c r="G446" t="s">
        <v>912</v>
      </c>
      <c r="H446" t="s">
        <v>957</v>
      </c>
      <c r="I446" t="s">
        <v>54</v>
      </c>
      <c r="J446" t="s">
        <v>958</v>
      </c>
      <c r="K446" t="s">
        <v>56</v>
      </c>
      <c r="L446">
        <v>0</v>
      </c>
      <c r="M446" t="s">
        <v>73</v>
      </c>
      <c r="N446">
        <v>0</v>
      </c>
      <c r="O446" t="s">
        <v>58</v>
      </c>
      <c r="P446" t="s">
        <v>59</v>
      </c>
      <c r="Q446" t="s">
        <v>959</v>
      </c>
      <c r="R446" t="s">
        <v>958</v>
      </c>
      <c r="S446" s="1">
        <v>44401</v>
      </c>
      <c r="T446" s="1">
        <v>44407</v>
      </c>
      <c r="U446">
        <v>37501</v>
      </c>
      <c r="V446" t="s">
        <v>94</v>
      </c>
      <c r="W446" t="s">
        <v>960</v>
      </c>
      <c r="X446" s="1">
        <v>44431</v>
      </c>
      <c r="Y446" t="s">
        <v>100</v>
      </c>
      <c r="Z446">
        <v>83</v>
      </c>
      <c r="AA446">
        <v>0</v>
      </c>
      <c r="AB446">
        <v>0</v>
      </c>
      <c r="AC446">
        <v>0</v>
      </c>
      <c r="AD446">
        <v>83</v>
      </c>
      <c r="AE446">
        <v>8026.01</v>
      </c>
      <c r="AF446">
        <v>7091</v>
      </c>
      <c r="AG446" t="s">
        <v>961</v>
      </c>
      <c r="AH446" t="s">
        <v>66</v>
      </c>
      <c r="AI446" t="s">
        <v>66</v>
      </c>
      <c r="AJ446" t="s">
        <v>66</v>
      </c>
      <c r="AK446" t="s">
        <v>66</v>
      </c>
      <c r="AL446" t="s">
        <v>66</v>
      </c>
      <c r="AM446" s="2" t="s">
        <v>73</v>
      </c>
      <c r="AN446" t="s">
        <v>73</v>
      </c>
      <c r="AO446" t="s">
        <v>73</v>
      </c>
      <c r="AP446" t="s">
        <v>962</v>
      </c>
      <c r="AQ446" t="s">
        <v>963</v>
      </c>
      <c r="AR446" t="s">
        <v>964</v>
      </c>
      <c r="AS446" t="s">
        <v>965</v>
      </c>
      <c r="AT446" s="1">
        <v>44435</v>
      </c>
      <c r="AU446" t="s">
        <v>73</v>
      </c>
    </row>
    <row r="447" spans="1:47" x14ac:dyDescent="0.3">
      <c r="A447" t="s">
        <v>246</v>
      </c>
      <c r="B447" t="s">
        <v>182</v>
      </c>
      <c r="C447" t="s">
        <v>183</v>
      </c>
      <c r="D447">
        <v>636</v>
      </c>
      <c r="E447" t="s">
        <v>910</v>
      </c>
      <c r="F447" t="s">
        <v>911</v>
      </c>
      <c r="G447" t="s">
        <v>912</v>
      </c>
      <c r="H447" t="s">
        <v>957</v>
      </c>
      <c r="I447" t="s">
        <v>54</v>
      </c>
      <c r="J447" t="s">
        <v>958</v>
      </c>
      <c r="K447" t="s">
        <v>56</v>
      </c>
      <c r="L447">
        <v>0</v>
      </c>
      <c r="M447" t="s">
        <v>73</v>
      </c>
      <c r="N447">
        <v>0</v>
      </c>
      <c r="O447" t="s">
        <v>58</v>
      </c>
      <c r="P447" t="s">
        <v>59</v>
      </c>
      <c r="Q447" t="s">
        <v>959</v>
      </c>
      <c r="R447" t="s">
        <v>958</v>
      </c>
      <c r="S447" s="1">
        <v>44401</v>
      </c>
      <c r="T447" s="1">
        <v>44407</v>
      </c>
      <c r="U447">
        <v>37501</v>
      </c>
      <c r="V447" t="s">
        <v>94</v>
      </c>
      <c r="W447" t="s">
        <v>960</v>
      </c>
      <c r="X447" s="1">
        <v>44431</v>
      </c>
      <c r="Y447" t="s">
        <v>100</v>
      </c>
      <c r="Z447">
        <v>27</v>
      </c>
      <c r="AA447">
        <v>0</v>
      </c>
      <c r="AB447">
        <v>0</v>
      </c>
      <c r="AC447">
        <v>0</v>
      </c>
      <c r="AD447">
        <v>27</v>
      </c>
      <c r="AE447">
        <v>8026.01</v>
      </c>
      <c r="AF447">
        <v>7091</v>
      </c>
      <c r="AG447" t="s">
        <v>961</v>
      </c>
      <c r="AH447" t="s">
        <v>66</v>
      </c>
      <c r="AI447" t="s">
        <v>66</v>
      </c>
      <c r="AJ447" t="s">
        <v>66</v>
      </c>
      <c r="AK447" t="s">
        <v>66</v>
      </c>
      <c r="AL447" t="s">
        <v>66</v>
      </c>
      <c r="AM447" s="2" t="s">
        <v>73</v>
      </c>
      <c r="AN447" t="s">
        <v>73</v>
      </c>
      <c r="AO447" t="s">
        <v>73</v>
      </c>
      <c r="AP447" t="s">
        <v>962</v>
      </c>
      <c r="AQ447" t="s">
        <v>963</v>
      </c>
      <c r="AR447" t="s">
        <v>964</v>
      </c>
      <c r="AS447" t="s">
        <v>965</v>
      </c>
      <c r="AT447" s="1">
        <v>44435</v>
      </c>
      <c r="AU447" t="s">
        <v>73</v>
      </c>
    </row>
    <row r="448" spans="1:47" x14ac:dyDescent="0.3">
      <c r="A448" t="s">
        <v>246</v>
      </c>
      <c r="B448" t="s">
        <v>182</v>
      </c>
      <c r="C448" t="s">
        <v>183</v>
      </c>
      <c r="D448">
        <v>636</v>
      </c>
      <c r="E448" t="s">
        <v>910</v>
      </c>
      <c r="F448" t="s">
        <v>911</v>
      </c>
      <c r="G448" t="s">
        <v>912</v>
      </c>
      <c r="H448" t="s">
        <v>957</v>
      </c>
      <c r="I448" t="s">
        <v>54</v>
      </c>
      <c r="J448" t="s">
        <v>958</v>
      </c>
      <c r="K448" t="s">
        <v>56</v>
      </c>
      <c r="L448">
        <v>0</v>
      </c>
      <c r="M448" t="s">
        <v>73</v>
      </c>
      <c r="N448">
        <v>0</v>
      </c>
      <c r="O448" t="s">
        <v>58</v>
      </c>
      <c r="P448" t="s">
        <v>59</v>
      </c>
      <c r="Q448" t="s">
        <v>959</v>
      </c>
      <c r="R448" t="s">
        <v>958</v>
      </c>
      <c r="S448" s="1">
        <v>44401</v>
      </c>
      <c r="T448" s="1">
        <v>44407</v>
      </c>
      <c r="U448">
        <v>37501</v>
      </c>
      <c r="V448" t="s">
        <v>94</v>
      </c>
      <c r="W448" t="s">
        <v>960</v>
      </c>
      <c r="X448" s="1">
        <v>44431</v>
      </c>
      <c r="Y448" t="s">
        <v>100</v>
      </c>
      <c r="Z448">
        <v>13</v>
      </c>
      <c r="AA448">
        <v>0</v>
      </c>
      <c r="AB448">
        <v>0</v>
      </c>
      <c r="AC448">
        <v>0</v>
      </c>
      <c r="AD448">
        <v>13</v>
      </c>
      <c r="AE448">
        <v>8026.01</v>
      </c>
      <c r="AF448">
        <v>7091</v>
      </c>
      <c r="AG448" t="s">
        <v>961</v>
      </c>
      <c r="AH448" t="s">
        <v>66</v>
      </c>
      <c r="AI448" t="s">
        <v>66</v>
      </c>
      <c r="AJ448" t="s">
        <v>66</v>
      </c>
      <c r="AK448" t="s">
        <v>66</v>
      </c>
      <c r="AL448" t="s">
        <v>66</v>
      </c>
      <c r="AM448" s="2" t="s">
        <v>73</v>
      </c>
      <c r="AN448" t="s">
        <v>73</v>
      </c>
      <c r="AO448" t="s">
        <v>73</v>
      </c>
      <c r="AP448" t="s">
        <v>962</v>
      </c>
      <c r="AQ448" t="s">
        <v>963</v>
      </c>
      <c r="AR448" t="s">
        <v>964</v>
      </c>
      <c r="AS448" t="s">
        <v>965</v>
      </c>
      <c r="AT448" s="1">
        <v>44435</v>
      </c>
      <c r="AU448" t="s">
        <v>73</v>
      </c>
    </row>
    <row r="449" spans="1:47" x14ac:dyDescent="0.3">
      <c r="A449" t="s">
        <v>246</v>
      </c>
      <c r="B449" t="s">
        <v>182</v>
      </c>
      <c r="C449" t="s">
        <v>183</v>
      </c>
      <c r="D449">
        <v>636</v>
      </c>
      <c r="E449" t="s">
        <v>910</v>
      </c>
      <c r="F449" t="s">
        <v>911</v>
      </c>
      <c r="G449" t="s">
        <v>912</v>
      </c>
      <c r="H449" t="s">
        <v>957</v>
      </c>
      <c r="I449" t="s">
        <v>54</v>
      </c>
      <c r="J449" t="s">
        <v>958</v>
      </c>
      <c r="K449" t="s">
        <v>56</v>
      </c>
      <c r="L449">
        <v>0</v>
      </c>
      <c r="M449" t="s">
        <v>73</v>
      </c>
      <c r="N449">
        <v>0</v>
      </c>
      <c r="O449" t="s">
        <v>58</v>
      </c>
      <c r="P449" t="s">
        <v>59</v>
      </c>
      <c r="Q449" t="s">
        <v>959</v>
      </c>
      <c r="R449" t="s">
        <v>958</v>
      </c>
      <c r="S449" s="1">
        <v>44401</v>
      </c>
      <c r="T449" s="1">
        <v>44407</v>
      </c>
      <c r="U449">
        <v>37501</v>
      </c>
      <c r="V449" t="s">
        <v>94</v>
      </c>
      <c r="W449" t="s">
        <v>960</v>
      </c>
      <c r="X449" s="1">
        <v>44431</v>
      </c>
      <c r="Y449" t="s">
        <v>100</v>
      </c>
      <c r="Z449">
        <v>86.21</v>
      </c>
      <c r="AA449">
        <v>16</v>
      </c>
      <c r="AB449">
        <v>13.79</v>
      </c>
      <c r="AC449">
        <v>0</v>
      </c>
      <c r="AD449">
        <v>100</v>
      </c>
      <c r="AE449">
        <v>8026.01</v>
      </c>
      <c r="AF449">
        <v>7091</v>
      </c>
      <c r="AG449" t="s">
        <v>961</v>
      </c>
      <c r="AH449" t="s">
        <v>66</v>
      </c>
      <c r="AI449" t="s">
        <v>65</v>
      </c>
      <c r="AJ449" t="s">
        <v>66</v>
      </c>
      <c r="AK449" t="s">
        <v>66</v>
      </c>
      <c r="AL449" t="s">
        <v>66</v>
      </c>
      <c r="AM449" s="2" t="str">
        <f>HYPERLINK("https://transparencia.cidesi.mx/comprobantes/2021/CQ2100675 /C27GPR911122D69_factura_Z997275.pdf")</f>
        <v>https://transparencia.cidesi.mx/comprobantes/2021/CQ2100675 /C27GPR911122D69_factura_Z997275.pdf</v>
      </c>
      <c r="AN449" t="str">
        <f>HYPERLINK("https://transparencia.cidesi.mx/comprobantes/2021/CQ2100675 /C27GPR911122D69_factura_Z997275.pdf")</f>
        <v>https://transparencia.cidesi.mx/comprobantes/2021/CQ2100675 /C27GPR911122D69_factura_Z997275.pdf</v>
      </c>
      <c r="AO449" t="str">
        <f>HYPERLINK("https://transparencia.cidesi.mx/comprobantes/2021/CQ2100675 /C27GPR911122D69_factura_Z997275.xml")</f>
        <v>https://transparencia.cidesi.mx/comprobantes/2021/CQ2100675 /C27GPR911122D69_factura_Z997275.xml</v>
      </c>
      <c r="AP449" t="s">
        <v>962</v>
      </c>
      <c r="AQ449" t="s">
        <v>963</v>
      </c>
      <c r="AR449" t="s">
        <v>964</v>
      </c>
      <c r="AS449" t="s">
        <v>965</v>
      </c>
      <c r="AT449" s="1">
        <v>44435</v>
      </c>
      <c r="AU449" t="s">
        <v>73</v>
      </c>
    </row>
    <row r="450" spans="1:47" x14ac:dyDescent="0.3">
      <c r="A450" t="s">
        <v>246</v>
      </c>
      <c r="B450" t="s">
        <v>182</v>
      </c>
      <c r="C450" t="s">
        <v>183</v>
      </c>
      <c r="D450">
        <v>636</v>
      </c>
      <c r="E450" t="s">
        <v>910</v>
      </c>
      <c r="F450" t="s">
        <v>911</v>
      </c>
      <c r="G450" t="s">
        <v>912</v>
      </c>
      <c r="H450" t="s">
        <v>957</v>
      </c>
      <c r="I450" t="s">
        <v>54</v>
      </c>
      <c r="J450" t="s">
        <v>958</v>
      </c>
      <c r="K450" t="s">
        <v>56</v>
      </c>
      <c r="L450">
        <v>0</v>
      </c>
      <c r="M450" t="s">
        <v>73</v>
      </c>
      <c r="N450">
        <v>0</v>
      </c>
      <c r="O450" t="s">
        <v>58</v>
      </c>
      <c r="P450" t="s">
        <v>59</v>
      </c>
      <c r="Q450" t="s">
        <v>959</v>
      </c>
      <c r="R450" t="s">
        <v>958</v>
      </c>
      <c r="S450" s="1">
        <v>44401</v>
      </c>
      <c r="T450" s="1">
        <v>44407</v>
      </c>
      <c r="U450">
        <v>37501</v>
      </c>
      <c r="V450" t="s">
        <v>94</v>
      </c>
      <c r="W450" t="s">
        <v>960</v>
      </c>
      <c r="X450" s="1">
        <v>44431</v>
      </c>
      <c r="Y450" t="s">
        <v>100</v>
      </c>
      <c r="Z450">
        <v>73.28</v>
      </c>
      <c r="AA450">
        <v>16</v>
      </c>
      <c r="AB450">
        <v>11.72</v>
      </c>
      <c r="AC450">
        <v>0</v>
      </c>
      <c r="AD450">
        <v>85</v>
      </c>
      <c r="AE450">
        <v>8026.01</v>
      </c>
      <c r="AF450">
        <v>7091</v>
      </c>
      <c r="AG450" t="s">
        <v>961</v>
      </c>
      <c r="AH450" t="s">
        <v>66</v>
      </c>
      <c r="AI450" t="s">
        <v>65</v>
      </c>
      <c r="AJ450" t="s">
        <v>66</v>
      </c>
      <c r="AK450" t="s">
        <v>66</v>
      </c>
      <c r="AL450" t="s">
        <v>66</v>
      </c>
      <c r="AM450" s="2" t="str">
        <f>HYPERLINK("https://transparencia.cidesi.mx/comprobantes/2021/CQ2100675 /C28GPR911122D69_factura_F818265.pdf")</f>
        <v>https://transparencia.cidesi.mx/comprobantes/2021/CQ2100675 /C28GPR911122D69_factura_F818265.pdf</v>
      </c>
      <c r="AN450" t="str">
        <f>HYPERLINK("https://transparencia.cidesi.mx/comprobantes/2021/CQ2100675 /C28GPR911122D69_factura_F818265.pdf")</f>
        <v>https://transparencia.cidesi.mx/comprobantes/2021/CQ2100675 /C28GPR911122D69_factura_F818265.pdf</v>
      </c>
      <c r="AO450" t="str">
        <f>HYPERLINK("https://transparencia.cidesi.mx/comprobantes/2021/CQ2100675 /C28GPR911122D69_factura_F818265.xml")</f>
        <v>https://transparencia.cidesi.mx/comprobantes/2021/CQ2100675 /C28GPR911122D69_factura_F818265.xml</v>
      </c>
      <c r="AP450" t="s">
        <v>962</v>
      </c>
      <c r="AQ450" t="s">
        <v>963</v>
      </c>
      <c r="AR450" t="s">
        <v>964</v>
      </c>
      <c r="AS450" t="s">
        <v>965</v>
      </c>
      <c r="AT450" s="1">
        <v>44435</v>
      </c>
      <c r="AU450" t="s">
        <v>73</v>
      </c>
    </row>
    <row r="451" spans="1:47" x14ac:dyDescent="0.3">
      <c r="A451" t="s">
        <v>246</v>
      </c>
      <c r="B451" t="s">
        <v>182</v>
      </c>
      <c r="C451" t="s">
        <v>183</v>
      </c>
      <c r="D451">
        <v>636</v>
      </c>
      <c r="E451" t="s">
        <v>910</v>
      </c>
      <c r="F451" t="s">
        <v>911</v>
      </c>
      <c r="G451" t="s">
        <v>912</v>
      </c>
      <c r="H451" t="s">
        <v>957</v>
      </c>
      <c r="I451" t="s">
        <v>54</v>
      </c>
      <c r="J451" t="s">
        <v>958</v>
      </c>
      <c r="K451" t="s">
        <v>56</v>
      </c>
      <c r="L451">
        <v>0</v>
      </c>
      <c r="M451" t="s">
        <v>73</v>
      </c>
      <c r="N451">
        <v>0</v>
      </c>
      <c r="O451" t="s">
        <v>58</v>
      </c>
      <c r="P451" t="s">
        <v>59</v>
      </c>
      <c r="Q451" t="s">
        <v>959</v>
      </c>
      <c r="R451" t="s">
        <v>958</v>
      </c>
      <c r="S451" s="1">
        <v>44401</v>
      </c>
      <c r="T451" s="1">
        <v>44407</v>
      </c>
      <c r="U451">
        <v>37501</v>
      </c>
      <c r="V451" t="s">
        <v>94</v>
      </c>
      <c r="W451" t="s">
        <v>960</v>
      </c>
      <c r="X451" s="1">
        <v>44431</v>
      </c>
      <c r="Y451" t="s">
        <v>100</v>
      </c>
      <c r="Z451">
        <v>50</v>
      </c>
      <c r="AA451">
        <v>16</v>
      </c>
      <c r="AB451">
        <v>8</v>
      </c>
      <c r="AC451">
        <v>0</v>
      </c>
      <c r="AD451">
        <v>58</v>
      </c>
      <c r="AE451">
        <v>8026.01</v>
      </c>
      <c r="AF451">
        <v>7091</v>
      </c>
      <c r="AG451" t="s">
        <v>961</v>
      </c>
      <c r="AH451" t="s">
        <v>66</v>
      </c>
      <c r="AI451" t="s">
        <v>65</v>
      </c>
      <c r="AJ451" t="s">
        <v>66</v>
      </c>
      <c r="AK451" t="s">
        <v>66</v>
      </c>
      <c r="AL451" t="s">
        <v>66</v>
      </c>
      <c r="AM451" s="2" t="str">
        <f>HYPERLINK("https://transparencia.cidesi.mx/comprobantes/2021/CQ2100675 /C29GPR911122D69_factura_C1165016.pdf")</f>
        <v>https://transparencia.cidesi.mx/comprobantes/2021/CQ2100675 /C29GPR911122D69_factura_C1165016.pdf</v>
      </c>
      <c r="AN451" t="str">
        <f>HYPERLINK("https://transparencia.cidesi.mx/comprobantes/2021/CQ2100675 /C29GPR911122D69_factura_C1165016.pdf")</f>
        <v>https://transparencia.cidesi.mx/comprobantes/2021/CQ2100675 /C29GPR911122D69_factura_C1165016.pdf</v>
      </c>
      <c r="AO451" t="str">
        <f>HYPERLINK("https://transparencia.cidesi.mx/comprobantes/2021/CQ2100675 /C29GPR911122D69_factura_C1165016.xml")</f>
        <v>https://transparencia.cidesi.mx/comprobantes/2021/CQ2100675 /C29GPR911122D69_factura_C1165016.xml</v>
      </c>
      <c r="AP451" t="s">
        <v>962</v>
      </c>
      <c r="AQ451" t="s">
        <v>963</v>
      </c>
      <c r="AR451" t="s">
        <v>964</v>
      </c>
      <c r="AS451" t="s">
        <v>965</v>
      </c>
      <c r="AT451" s="1">
        <v>44435</v>
      </c>
      <c r="AU451" t="s">
        <v>73</v>
      </c>
    </row>
    <row r="452" spans="1:47" x14ac:dyDescent="0.3">
      <c r="A452" t="s">
        <v>246</v>
      </c>
      <c r="B452" t="s">
        <v>182</v>
      </c>
      <c r="C452" t="s">
        <v>183</v>
      </c>
      <c r="D452">
        <v>636</v>
      </c>
      <c r="E452" t="s">
        <v>910</v>
      </c>
      <c r="F452" t="s">
        <v>911</v>
      </c>
      <c r="G452" t="s">
        <v>912</v>
      </c>
      <c r="H452" t="s">
        <v>957</v>
      </c>
      <c r="I452" t="s">
        <v>54</v>
      </c>
      <c r="J452" t="s">
        <v>958</v>
      </c>
      <c r="K452" t="s">
        <v>56</v>
      </c>
      <c r="L452">
        <v>0</v>
      </c>
      <c r="M452" t="s">
        <v>73</v>
      </c>
      <c r="N452">
        <v>0</v>
      </c>
      <c r="O452" t="s">
        <v>58</v>
      </c>
      <c r="P452" t="s">
        <v>59</v>
      </c>
      <c r="Q452" t="s">
        <v>959</v>
      </c>
      <c r="R452" t="s">
        <v>958</v>
      </c>
      <c r="S452" s="1">
        <v>44401</v>
      </c>
      <c r="T452" s="1">
        <v>44407</v>
      </c>
      <c r="U452">
        <v>37501</v>
      </c>
      <c r="V452" t="s">
        <v>94</v>
      </c>
      <c r="W452" t="s">
        <v>960</v>
      </c>
      <c r="X452" s="1">
        <v>44431</v>
      </c>
      <c r="Y452" t="s">
        <v>100</v>
      </c>
      <c r="Z452">
        <v>300</v>
      </c>
      <c r="AA452">
        <v>0</v>
      </c>
      <c r="AB452">
        <v>0</v>
      </c>
      <c r="AC452">
        <v>0</v>
      </c>
      <c r="AD452">
        <v>300</v>
      </c>
      <c r="AE452">
        <v>8026.01</v>
      </c>
      <c r="AF452">
        <v>7091</v>
      </c>
      <c r="AG452" t="s">
        <v>961</v>
      </c>
      <c r="AH452" t="s">
        <v>66</v>
      </c>
      <c r="AI452" t="s">
        <v>66</v>
      </c>
      <c r="AJ452" t="s">
        <v>66</v>
      </c>
      <c r="AK452" t="s">
        <v>66</v>
      </c>
      <c r="AL452" t="s">
        <v>66</v>
      </c>
      <c r="AM452" s="2" t="s">
        <v>73</v>
      </c>
      <c r="AN452" t="s">
        <v>73</v>
      </c>
      <c r="AO452" t="s">
        <v>73</v>
      </c>
      <c r="AP452" t="s">
        <v>962</v>
      </c>
      <c r="AQ452" t="s">
        <v>963</v>
      </c>
      <c r="AR452" t="s">
        <v>964</v>
      </c>
      <c r="AS452" t="s">
        <v>965</v>
      </c>
      <c r="AT452" s="1">
        <v>44435</v>
      </c>
      <c r="AU452" t="s">
        <v>73</v>
      </c>
    </row>
    <row r="453" spans="1:47" x14ac:dyDescent="0.3">
      <c r="A453" t="s">
        <v>246</v>
      </c>
      <c r="B453" t="s">
        <v>182</v>
      </c>
      <c r="C453" t="s">
        <v>183</v>
      </c>
      <c r="D453">
        <v>636</v>
      </c>
      <c r="E453" t="s">
        <v>910</v>
      </c>
      <c r="F453" t="s">
        <v>911</v>
      </c>
      <c r="G453" t="s">
        <v>912</v>
      </c>
      <c r="H453" t="s">
        <v>957</v>
      </c>
      <c r="I453" t="s">
        <v>54</v>
      </c>
      <c r="J453" t="s">
        <v>958</v>
      </c>
      <c r="K453" t="s">
        <v>56</v>
      </c>
      <c r="L453">
        <v>0</v>
      </c>
      <c r="M453" t="s">
        <v>73</v>
      </c>
      <c r="N453">
        <v>0</v>
      </c>
      <c r="O453" t="s">
        <v>58</v>
      </c>
      <c r="P453" t="s">
        <v>59</v>
      </c>
      <c r="Q453" t="s">
        <v>959</v>
      </c>
      <c r="R453" t="s">
        <v>958</v>
      </c>
      <c r="S453" s="1">
        <v>44401</v>
      </c>
      <c r="T453" s="1">
        <v>44407</v>
      </c>
      <c r="U453">
        <v>37501</v>
      </c>
      <c r="V453" t="s">
        <v>94</v>
      </c>
      <c r="W453" t="s">
        <v>960</v>
      </c>
      <c r="X453" s="1">
        <v>44431</v>
      </c>
      <c r="Y453" t="s">
        <v>100</v>
      </c>
      <c r="Z453">
        <v>100</v>
      </c>
      <c r="AA453">
        <v>0</v>
      </c>
      <c r="AB453">
        <v>0</v>
      </c>
      <c r="AC453">
        <v>0</v>
      </c>
      <c r="AD453">
        <v>100</v>
      </c>
      <c r="AE453">
        <v>8026.01</v>
      </c>
      <c r="AF453">
        <v>7091</v>
      </c>
      <c r="AG453" t="s">
        <v>967</v>
      </c>
      <c r="AH453" t="s">
        <v>66</v>
      </c>
      <c r="AI453" t="s">
        <v>66</v>
      </c>
      <c r="AJ453" t="s">
        <v>66</v>
      </c>
      <c r="AK453" t="s">
        <v>66</v>
      </c>
      <c r="AL453" t="s">
        <v>66</v>
      </c>
      <c r="AM453" s="2" t="s">
        <v>73</v>
      </c>
      <c r="AN453" t="s">
        <v>73</v>
      </c>
      <c r="AO453" t="s">
        <v>73</v>
      </c>
      <c r="AP453" t="s">
        <v>962</v>
      </c>
      <c r="AQ453" t="s">
        <v>963</v>
      </c>
      <c r="AR453" t="s">
        <v>964</v>
      </c>
      <c r="AS453" t="s">
        <v>965</v>
      </c>
      <c r="AT453" s="1">
        <v>44435</v>
      </c>
      <c r="AU453" t="s">
        <v>73</v>
      </c>
    </row>
    <row r="454" spans="1:47" x14ac:dyDescent="0.3">
      <c r="A454" t="s">
        <v>246</v>
      </c>
      <c r="B454" t="s">
        <v>182</v>
      </c>
      <c r="C454" t="s">
        <v>183</v>
      </c>
      <c r="D454">
        <v>636</v>
      </c>
      <c r="E454" t="s">
        <v>910</v>
      </c>
      <c r="F454" t="s">
        <v>911</v>
      </c>
      <c r="G454" t="s">
        <v>912</v>
      </c>
      <c r="H454" t="s">
        <v>957</v>
      </c>
      <c r="I454" t="s">
        <v>54</v>
      </c>
      <c r="J454" t="s">
        <v>958</v>
      </c>
      <c r="K454" t="s">
        <v>56</v>
      </c>
      <c r="L454">
        <v>0</v>
      </c>
      <c r="M454" t="s">
        <v>73</v>
      </c>
      <c r="N454">
        <v>0</v>
      </c>
      <c r="O454" t="s">
        <v>58</v>
      </c>
      <c r="P454" t="s">
        <v>59</v>
      </c>
      <c r="Q454" t="s">
        <v>959</v>
      </c>
      <c r="R454" t="s">
        <v>958</v>
      </c>
      <c r="S454" s="1">
        <v>44401</v>
      </c>
      <c r="T454" s="1">
        <v>44407</v>
      </c>
      <c r="U454">
        <v>37501</v>
      </c>
      <c r="V454" t="s">
        <v>61</v>
      </c>
      <c r="W454" t="s">
        <v>960</v>
      </c>
      <c r="X454" s="1">
        <v>44431</v>
      </c>
      <c r="Y454" t="s">
        <v>100</v>
      </c>
      <c r="Z454">
        <v>232.76</v>
      </c>
      <c r="AA454">
        <v>16</v>
      </c>
      <c r="AB454">
        <v>37.24</v>
      </c>
      <c r="AC454">
        <v>27</v>
      </c>
      <c r="AD454">
        <v>297</v>
      </c>
      <c r="AE454">
        <v>8026.01</v>
      </c>
      <c r="AF454">
        <v>7091</v>
      </c>
      <c r="AG454" t="s">
        <v>916</v>
      </c>
      <c r="AH454" t="s">
        <v>65</v>
      </c>
      <c r="AI454" t="s">
        <v>65</v>
      </c>
      <c r="AJ454" t="s">
        <v>66</v>
      </c>
      <c r="AK454" t="s">
        <v>66</v>
      </c>
      <c r="AL454" t="s">
        <v>66</v>
      </c>
      <c r="AM454" s="2" t="str">
        <f>HYPERLINK("https://transparencia.cidesi.mx/comprobantes/2021/CQ2100675 /C34FECFDI20355_FC.pdf")</f>
        <v>https://transparencia.cidesi.mx/comprobantes/2021/CQ2100675 /C34FECFDI20355_FC.pdf</v>
      </c>
      <c r="AN454" t="str">
        <f>HYPERLINK("https://transparencia.cidesi.mx/comprobantes/2021/CQ2100675 /C34FECFDI20355_FC.pdf")</f>
        <v>https://transparencia.cidesi.mx/comprobantes/2021/CQ2100675 /C34FECFDI20355_FC.pdf</v>
      </c>
      <c r="AO454" t="str">
        <f>HYPERLINK("https://transparencia.cidesi.mx/comprobantes/2021/CQ2100675 /C34FECFDI20355_FC.xml")</f>
        <v>https://transparencia.cidesi.mx/comprobantes/2021/CQ2100675 /C34FECFDI20355_FC.xml</v>
      </c>
      <c r="AP454" t="s">
        <v>962</v>
      </c>
      <c r="AQ454" t="s">
        <v>963</v>
      </c>
      <c r="AR454" t="s">
        <v>964</v>
      </c>
      <c r="AS454" t="s">
        <v>965</v>
      </c>
      <c r="AT454" s="1">
        <v>44435</v>
      </c>
      <c r="AU454" t="s">
        <v>73</v>
      </c>
    </row>
    <row r="455" spans="1:47" x14ac:dyDescent="0.3">
      <c r="A455" t="s">
        <v>246</v>
      </c>
      <c r="B455" t="s">
        <v>182</v>
      </c>
      <c r="C455" t="s">
        <v>183</v>
      </c>
      <c r="D455">
        <v>636</v>
      </c>
      <c r="E455" t="s">
        <v>910</v>
      </c>
      <c r="F455" t="s">
        <v>911</v>
      </c>
      <c r="G455" t="s">
        <v>912</v>
      </c>
      <c r="H455" t="s">
        <v>957</v>
      </c>
      <c r="I455" t="s">
        <v>54</v>
      </c>
      <c r="J455" t="s">
        <v>958</v>
      </c>
      <c r="K455" t="s">
        <v>56</v>
      </c>
      <c r="L455">
        <v>0</v>
      </c>
      <c r="M455" t="s">
        <v>73</v>
      </c>
      <c r="N455">
        <v>0</v>
      </c>
      <c r="O455" t="s">
        <v>58</v>
      </c>
      <c r="P455" t="s">
        <v>59</v>
      </c>
      <c r="Q455" t="s">
        <v>959</v>
      </c>
      <c r="R455" t="s">
        <v>958</v>
      </c>
      <c r="S455" s="1">
        <v>44401</v>
      </c>
      <c r="T455" s="1">
        <v>44407</v>
      </c>
      <c r="U455">
        <v>37501</v>
      </c>
      <c r="V455" t="s">
        <v>61</v>
      </c>
      <c r="W455" t="s">
        <v>960</v>
      </c>
      <c r="X455" s="1">
        <v>44431</v>
      </c>
      <c r="Y455" t="s">
        <v>100</v>
      </c>
      <c r="Z455">
        <v>123.41</v>
      </c>
      <c r="AA455">
        <v>16</v>
      </c>
      <c r="AB455">
        <v>19.756</v>
      </c>
      <c r="AC455">
        <v>0</v>
      </c>
      <c r="AD455">
        <v>143.16999999999999</v>
      </c>
      <c r="AE455">
        <v>8026.01</v>
      </c>
      <c r="AF455">
        <v>7091</v>
      </c>
      <c r="AG455" t="s">
        <v>916</v>
      </c>
      <c r="AH455" t="s">
        <v>65</v>
      </c>
      <c r="AI455" t="s">
        <v>65</v>
      </c>
      <c r="AJ455" t="s">
        <v>66</v>
      </c>
      <c r="AK455" t="s">
        <v>66</v>
      </c>
      <c r="AL455" t="s">
        <v>66</v>
      </c>
      <c r="AM455" s="2" t="str">
        <f>HYPERLINK("https://transparencia.cidesi.mx/comprobantes/2021/CQ2100675 /C35CID840309UG7_SS_40_20210727.pdf")</f>
        <v>https://transparencia.cidesi.mx/comprobantes/2021/CQ2100675 /C35CID840309UG7_SS_40_20210727.pdf</v>
      </c>
      <c r="AN455" t="str">
        <f>HYPERLINK("https://transparencia.cidesi.mx/comprobantes/2021/CQ2100675 /C35CID840309UG7_SS_40_20210727.pdf")</f>
        <v>https://transparencia.cidesi.mx/comprobantes/2021/CQ2100675 /C35CID840309UG7_SS_40_20210727.pdf</v>
      </c>
      <c r="AO455" t="str">
        <f>HYPERLINK("https://transparencia.cidesi.mx/comprobantes/2021/CQ2100675 /C35CID840309UG7_SS_40_20210727.xml")</f>
        <v>https://transparencia.cidesi.mx/comprobantes/2021/CQ2100675 /C35CID840309UG7_SS_40_20210727.xml</v>
      </c>
      <c r="AP455" t="s">
        <v>962</v>
      </c>
      <c r="AQ455" t="s">
        <v>963</v>
      </c>
      <c r="AR455" t="s">
        <v>964</v>
      </c>
      <c r="AS455" t="s">
        <v>965</v>
      </c>
      <c r="AT455" s="1">
        <v>44435</v>
      </c>
      <c r="AU455" t="s">
        <v>73</v>
      </c>
    </row>
    <row r="456" spans="1:47" x14ac:dyDescent="0.3">
      <c r="A456" t="s">
        <v>246</v>
      </c>
      <c r="B456" t="s">
        <v>182</v>
      </c>
      <c r="C456" t="s">
        <v>183</v>
      </c>
      <c r="D456">
        <v>636</v>
      </c>
      <c r="E456" t="s">
        <v>910</v>
      </c>
      <c r="F456" t="s">
        <v>911</v>
      </c>
      <c r="G456" t="s">
        <v>912</v>
      </c>
      <c r="H456" t="s">
        <v>957</v>
      </c>
      <c r="I456" t="s">
        <v>54</v>
      </c>
      <c r="J456" t="s">
        <v>958</v>
      </c>
      <c r="K456" t="s">
        <v>56</v>
      </c>
      <c r="L456">
        <v>0</v>
      </c>
      <c r="M456" t="s">
        <v>73</v>
      </c>
      <c r="N456">
        <v>0</v>
      </c>
      <c r="O456" t="s">
        <v>58</v>
      </c>
      <c r="P456" t="s">
        <v>59</v>
      </c>
      <c r="Q456" t="s">
        <v>959</v>
      </c>
      <c r="R456" t="s">
        <v>958</v>
      </c>
      <c r="S456" s="1">
        <v>44401</v>
      </c>
      <c r="T456" s="1">
        <v>44407</v>
      </c>
      <c r="U456">
        <v>37501</v>
      </c>
      <c r="V456" t="s">
        <v>61</v>
      </c>
      <c r="W456" t="s">
        <v>960</v>
      </c>
      <c r="X456" s="1">
        <v>44431</v>
      </c>
      <c r="Y456" t="s">
        <v>100</v>
      </c>
      <c r="Z456">
        <v>344.83</v>
      </c>
      <c r="AA456">
        <v>16</v>
      </c>
      <c r="AB456">
        <v>55.17</v>
      </c>
      <c r="AC456">
        <v>0</v>
      </c>
      <c r="AD456">
        <v>400</v>
      </c>
      <c r="AE456">
        <v>8026.01</v>
      </c>
      <c r="AF456">
        <v>7091</v>
      </c>
      <c r="AG456" t="s">
        <v>916</v>
      </c>
      <c r="AH456" t="s">
        <v>65</v>
      </c>
      <c r="AI456" t="s">
        <v>65</v>
      </c>
      <c r="AJ456" t="s">
        <v>66</v>
      </c>
      <c r="AK456" t="s">
        <v>66</v>
      </c>
      <c r="AL456" t="s">
        <v>66</v>
      </c>
      <c r="AM456" s="2" t="str">
        <f>HYPERLINK("https://transparencia.cidesi.mx/comprobantes/2021/CQ2100675 /C36factura$ 400.00 pichilingue.pdf")</f>
        <v>https://transparencia.cidesi.mx/comprobantes/2021/CQ2100675 /C36factura$ 400.00 pichilingue.pdf</v>
      </c>
      <c r="AN456" t="str">
        <f>HYPERLINK("https://transparencia.cidesi.mx/comprobantes/2021/CQ2100675 /C36factura$ 400.00 pichilingue.pdf")</f>
        <v>https://transparencia.cidesi.mx/comprobantes/2021/CQ2100675 /C36factura$ 400.00 pichilingue.pdf</v>
      </c>
      <c r="AO456" t="str">
        <f>HYPERLINK("https://transparencia.cidesi.mx/comprobantes/2021/CQ2100675 /C36factura $ 400.00.xml")</f>
        <v>https://transparencia.cidesi.mx/comprobantes/2021/CQ2100675 /C36factura $ 400.00.xml</v>
      </c>
      <c r="AP456" t="s">
        <v>962</v>
      </c>
      <c r="AQ456" t="s">
        <v>963</v>
      </c>
      <c r="AR456" t="s">
        <v>964</v>
      </c>
      <c r="AS456" t="s">
        <v>965</v>
      </c>
      <c r="AT456" s="1">
        <v>44435</v>
      </c>
      <c r="AU456" t="s">
        <v>73</v>
      </c>
    </row>
    <row r="457" spans="1:47" x14ac:dyDescent="0.3">
      <c r="A457" t="s">
        <v>246</v>
      </c>
      <c r="B457" t="s">
        <v>182</v>
      </c>
      <c r="C457" t="s">
        <v>183</v>
      </c>
      <c r="D457">
        <v>636</v>
      </c>
      <c r="E457" t="s">
        <v>910</v>
      </c>
      <c r="F457" t="s">
        <v>911</v>
      </c>
      <c r="G457" t="s">
        <v>912</v>
      </c>
      <c r="H457" t="s">
        <v>957</v>
      </c>
      <c r="I457" t="s">
        <v>54</v>
      </c>
      <c r="J457" t="s">
        <v>958</v>
      </c>
      <c r="K457" t="s">
        <v>56</v>
      </c>
      <c r="L457">
        <v>0</v>
      </c>
      <c r="M457" t="s">
        <v>73</v>
      </c>
      <c r="N457">
        <v>0</v>
      </c>
      <c r="O457" t="s">
        <v>58</v>
      </c>
      <c r="P457" t="s">
        <v>59</v>
      </c>
      <c r="Q457" t="s">
        <v>959</v>
      </c>
      <c r="R457" t="s">
        <v>958</v>
      </c>
      <c r="S457" s="1">
        <v>44401</v>
      </c>
      <c r="T457" s="1">
        <v>44407</v>
      </c>
      <c r="U457">
        <v>37501</v>
      </c>
      <c r="V457" t="s">
        <v>61</v>
      </c>
      <c r="W457" t="s">
        <v>960</v>
      </c>
      <c r="X457" s="1">
        <v>44431</v>
      </c>
      <c r="Y457" t="s">
        <v>100</v>
      </c>
      <c r="Z457">
        <v>93.97</v>
      </c>
      <c r="AA457">
        <v>16</v>
      </c>
      <c r="AB457">
        <v>15.03</v>
      </c>
      <c r="AC457">
        <v>0</v>
      </c>
      <c r="AD457">
        <v>109</v>
      </c>
      <c r="AE457">
        <v>8026.01</v>
      </c>
      <c r="AF457">
        <v>7091</v>
      </c>
      <c r="AG457" t="s">
        <v>916</v>
      </c>
      <c r="AH457" t="s">
        <v>65</v>
      </c>
      <c r="AI457" t="s">
        <v>65</v>
      </c>
      <c r="AJ457" t="s">
        <v>66</v>
      </c>
      <c r="AK457" t="s">
        <v>66</v>
      </c>
      <c r="AL457" t="s">
        <v>66</v>
      </c>
      <c r="AM457" s="2" t="str">
        <f>HYPERLINK("https://transparencia.cidesi.mx/comprobantes/2021/CQ2100675 /C37FacturaFRP-175776.pdf")</f>
        <v>https://transparencia.cidesi.mx/comprobantes/2021/CQ2100675 /C37FacturaFRP-175776.pdf</v>
      </c>
      <c r="AN457" t="str">
        <f>HYPERLINK("https://transparencia.cidesi.mx/comprobantes/2021/CQ2100675 /C37FacturaFRP-175776.pdf")</f>
        <v>https://transparencia.cidesi.mx/comprobantes/2021/CQ2100675 /C37FacturaFRP-175776.pdf</v>
      </c>
      <c r="AO457" t="str">
        <f>HYPERLINK("https://transparencia.cidesi.mx/comprobantes/2021/CQ2100675 /C37FacturaFRP-175776.xml")</f>
        <v>https://transparencia.cidesi.mx/comprobantes/2021/CQ2100675 /C37FacturaFRP-175776.xml</v>
      </c>
      <c r="AP457" t="s">
        <v>962</v>
      </c>
      <c r="AQ457" t="s">
        <v>963</v>
      </c>
      <c r="AR457" t="s">
        <v>964</v>
      </c>
      <c r="AS457" t="s">
        <v>965</v>
      </c>
      <c r="AT457" s="1">
        <v>44435</v>
      </c>
      <c r="AU457" t="s">
        <v>73</v>
      </c>
    </row>
    <row r="458" spans="1:47" x14ac:dyDescent="0.3">
      <c r="A458" t="s">
        <v>246</v>
      </c>
      <c r="B458" t="s">
        <v>182</v>
      </c>
      <c r="C458" t="s">
        <v>183</v>
      </c>
      <c r="D458">
        <v>636</v>
      </c>
      <c r="E458" t="s">
        <v>910</v>
      </c>
      <c r="F458" t="s">
        <v>911</v>
      </c>
      <c r="G458" t="s">
        <v>912</v>
      </c>
      <c r="H458" t="s">
        <v>957</v>
      </c>
      <c r="I458" t="s">
        <v>54</v>
      </c>
      <c r="J458" t="s">
        <v>958</v>
      </c>
      <c r="K458" t="s">
        <v>56</v>
      </c>
      <c r="L458">
        <v>0</v>
      </c>
      <c r="M458" t="s">
        <v>73</v>
      </c>
      <c r="N458">
        <v>0</v>
      </c>
      <c r="O458" t="s">
        <v>58</v>
      </c>
      <c r="P458" t="s">
        <v>59</v>
      </c>
      <c r="Q458" t="s">
        <v>959</v>
      </c>
      <c r="R458" t="s">
        <v>958</v>
      </c>
      <c r="S458" s="1">
        <v>44401</v>
      </c>
      <c r="T458" s="1">
        <v>44407</v>
      </c>
      <c r="U458">
        <v>37501</v>
      </c>
      <c r="V458" t="s">
        <v>104</v>
      </c>
      <c r="W458" t="s">
        <v>960</v>
      </c>
      <c r="X458" s="1">
        <v>44431</v>
      </c>
      <c r="Y458" t="s">
        <v>100</v>
      </c>
      <c r="Z458">
        <v>521.01</v>
      </c>
      <c r="AA458">
        <v>16</v>
      </c>
      <c r="AB458">
        <v>83.36</v>
      </c>
      <c r="AC458">
        <v>15.63</v>
      </c>
      <c r="AD458">
        <v>620</v>
      </c>
      <c r="AE458">
        <v>8026.01</v>
      </c>
      <c r="AF458">
        <v>7091</v>
      </c>
      <c r="AG458" t="s">
        <v>966</v>
      </c>
      <c r="AH458" t="s">
        <v>65</v>
      </c>
      <c r="AI458" t="s">
        <v>65</v>
      </c>
      <c r="AJ458" t="s">
        <v>66</v>
      </c>
      <c r="AK458" t="s">
        <v>66</v>
      </c>
      <c r="AL458" t="s">
        <v>66</v>
      </c>
      <c r="AM458" s="2" t="str">
        <f>HYPERLINK("https://transparencia.cidesi.mx/comprobantes/2021/CQ2100675 /C38R20997.pdf")</f>
        <v>https://transparencia.cidesi.mx/comprobantes/2021/CQ2100675 /C38R20997.pdf</v>
      </c>
      <c r="AN458" t="str">
        <f>HYPERLINK("https://transparencia.cidesi.mx/comprobantes/2021/CQ2100675 /C38R20997.pdf")</f>
        <v>https://transparencia.cidesi.mx/comprobantes/2021/CQ2100675 /C38R20997.pdf</v>
      </c>
      <c r="AO458" t="str">
        <f>HYPERLINK("https://transparencia.cidesi.mx/comprobantes/2021/CQ2100675 /C38R20997.xml")</f>
        <v>https://transparencia.cidesi.mx/comprobantes/2021/CQ2100675 /C38R20997.xml</v>
      </c>
      <c r="AP458" t="s">
        <v>962</v>
      </c>
      <c r="AQ458" t="s">
        <v>963</v>
      </c>
      <c r="AR458" t="s">
        <v>964</v>
      </c>
      <c r="AS458" t="s">
        <v>965</v>
      </c>
      <c r="AT458" s="1">
        <v>44435</v>
      </c>
      <c r="AU458" t="s">
        <v>73</v>
      </c>
    </row>
    <row r="459" spans="1:47" x14ac:dyDescent="0.3">
      <c r="A459" t="s">
        <v>246</v>
      </c>
      <c r="B459" t="s">
        <v>182</v>
      </c>
      <c r="C459" t="s">
        <v>183</v>
      </c>
      <c r="D459">
        <v>636</v>
      </c>
      <c r="E459" t="s">
        <v>910</v>
      </c>
      <c r="F459" t="s">
        <v>911</v>
      </c>
      <c r="G459" t="s">
        <v>912</v>
      </c>
      <c r="H459" t="s">
        <v>957</v>
      </c>
      <c r="I459" t="s">
        <v>54</v>
      </c>
      <c r="J459" t="s">
        <v>958</v>
      </c>
      <c r="K459" t="s">
        <v>56</v>
      </c>
      <c r="L459">
        <v>0</v>
      </c>
      <c r="M459" t="s">
        <v>73</v>
      </c>
      <c r="N459">
        <v>0</v>
      </c>
      <c r="O459" t="s">
        <v>58</v>
      </c>
      <c r="P459" t="s">
        <v>59</v>
      </c>
      <c r="Q459" t="s">
        <v>959</v>
      </c>
      <c r="R459" t="s">
        <v>958</v>
      </c>
      <c r="S459" s="1">
        <v>44401</v>
      </c>
      <c r="T459" s="1">
        <v>44407</v>
      </c>
      <c r="U459">
        <v>37501</v>
      </c>
      <c r="V459" t="s">
        <v>61</v>
      </c>
      <c r="W459" t="s">
        <v>960</v>
      </c>
      <c r="X459" s="1">
        <v>44431</v>
      </c>
      <c r="Y459" t="s">
        <v>100</v>
      </c>
      <c r="Z459">
        <v>176</v>
      </c>
      <c r="AA459">
        <v>0</v>
      </c>
      <c r="AB459">
        <v>0</v>
      </c>
      <c r="AC459">
        <v>0</v>
      </c>
      <c r="AD459">
        <v>176</v>
      </c>
      <c r="AE459">
        <v>8026.01</v>
      </c>
      <c r="AF459">
        <v>7091</v>
      </c>
      <c r="AG459" t="s">
        <v>916</v>
      </c>
      <c r="AH459" t="s">
        <v>65</v>
      </c>
      <c r="AI459" t="s">
        <v>66</v>
      </c>
      <c r="AJ459" t="s">
        <v>66</v>
      </c>
      <c r="AK459" t="s">
        <v>66</v>
      </c>
      <c r="AL459" t="s">
        <v>66</v>
      </c>
      <c r="AM459" s="2" t="s">
        <v>73</v>
      </c>
      <c r="AN459" t="s">
        <v>73</v>
      </c>
      <c r="AO459" t="s">
        <v>73</v>
      </c>
      <c r="AP459" t="s">
        <v>962</v>
      </c>
      <c r="AQ459" t="s">
        <v>963</v>
      </c>
      <c r="AR459" t="s">
        <v>964</v>
      </c>
      <c r="AS459" t="s">
        <v>965</v>
      </c>
      <c r="AT459" s="1">
        <v>44435</v>
      </c>
      <c r="AU459" t="s">
        <v>73</v>
      </c>
    </row>
    <row r="460" spans="1:47" x14ac:dyDescent="0.3">
      <c r="A460" t="s">
        <v>246</v>
      </c>
      <c r="B460" t="s">
        <v>182</v>
      </c>
      <c r="C460" t="s">
        <v>183</v>
      </c>
      <c r="D460">
        <v>636</v>
      </c>
      <c r="E460" t="s">
        <v>910</v>
      </c>
      <c r="F460" t="s">
        <v>911</v>
      </c>
      <c r="G460" t="s">
        <v>912</v>
      </c>
      <c r="H460" t="s">
        <v>957</v>
      </c>
      <c r="I460" t="s">
        <v>54</v>
      </c>
      <c r="J460" t="s">
        <v>958</v>
      </c>
      <c r="K460" t="s">
        <v>56</v>
      </c>
      <c r="L460">
        <v>0</v>
      </c>
      <c r="M460" t="s">
        <v>73</v>
      </c>
      <c r="N460">
        <v>0</v>
      </c>
      <c r="O460" t="s">
        <v>58</v>
      </c>
      <c r="P460" t="s">
        <v>59</v>
      </c>
      <c r="Q460" t="s">
        <v>959</v>
      </c>
      <c r="R460" t="s">
        <v>958</v>
      </c>
      <c r="S460" s="1">
        <v>44401</v>
      </c>
      <c r="T460" s="1">
        <v>44407</v>
      </c>
      <c r="U460">
        <v>37501</v>
      </c>
      <c r="V460" t="s">
        <v>61</v>
      </c>
      <c r="W460" t="s">
        <v>960</v>
      </c>
      <c r="X460" s="1">
        <v>44431</v>
      </c>
      <c r="Y460" t="s">
        <v>100</v>
      </c>
      <c r="Z460">
        <v>151.9</v>
      </c>
      <c r="AA460">
        <v>0</v>
      </c>
      <c r="AB460">
        <v>0</v>
      </c>
      <c r="AC460">
        <v>0</v>
      </c>
      <c r="AD460">
        <v>151.9</v>
      </c>
      <c r="AE460">
        <v>8026.01</v>
      </c>
      <c r="AF460">
        <v>7091</v>
      </c>
      <c r="AG460" t="s">
        <v>916</v>
      </c>
      <c r="AH460" t="s">
        <v>65</v>
      </c>
      <c r="AI460" t="s">
        <v>66</v>
      </c>
      <c r="AJ460" t="s">
        <v>66</v>
      </c>
      <c r="AK460" t="s">
        <v>66</v>
      </c>
      <c r="AL460" t="s">
        <v>66</v>
      </c>
      <c r="AM460" s="2" t="s">
        <v>73</v>
      </c>
      <c r="AN460" t="s">
        <v>73</v>
      </c>
      <c r="AO460" t="s">
        <v>73</v>
      </c>
      <c r="AP460" t="s">
        <v>962</v>
      </c>
      <c r="AQ460" t="s">
        <v>963</v>
      </c>
      <c r="AR460" t="s">
        <v>964</v>
      </c>
      <c r="AS460" t="s">
        <v>965</v>
      </c>
      <c r="AT460" s="1">
        <v>44435</v>
      </c>
      <c r="AU460" t="s">
        <v>73</v>
      </c>
    </row>
    <row r="461" spans="1:47" x14ac:dyDescent="0.3">
      <c r="A461" t="s">
        <v>246</v>
      </c>
      <c r="B461" t="s">
        <v>182</v>
      </c>
      <c r="C461" t="s">
        <v>183</v>
      </c>
      <c r="D461">
        <v>636</v>
      </c>
      <c r="E461" t="s">
        <v>910</v>
      </c>
      <c r="F461" t="s">
        <v>911</v>
      </c>
      <c r="G461" t="s">
        <v>912</v>
      </c>
      <c r="H461" t="s">
        <v>968</v>
      </c>
      <c r="I461" t="s">
        <v>54</v>
      </c>
      <c r="J461" t="s">
        <v>969</v>
      </c>
      <c r="K461" t="s">
        <v>56</v>
      </c>
      <c r="L461">
        <v>0</v>
      </c>
      <c r="M461" t="s">
        <v>73</v>
      </c>
      <c r="N461">
        <v>0</v>
      </c>
      <c r="O461" t="s">
        <v>58</v>
      </c>
      <c r="P461" t="s">
        <v>59</v>
      </c>
      <c r="Q461" t="s">
        <v>970</v>
      </c>
      <c r="R461" t="s">
        <v>969</v>
      </c>
      <c r="S461" s="1">
        <v>44408</v>
      </c>
      <c r="T461" s="1">
        <v>44414</v>
      </c>
      <c r="U461">
        <v>37501</v>
      </c>
      <c r="V461" t="s">
        <v>61</v>
      </c>
      <c r="W461" t="s">
        <v>971</v>
      </c>
      <c r="X461" s="1">
        <v>44419</v>
      </c>
      <c r="Y461" t="s">
        <v>63</v>
      </c>
      <c r="Z461">
        <v>108.72</v>
      </c>
      <c r="AA461">
        <v>16</v>
      </c>
      <c r="AB461">
        <v>12.68</v>
      </c>
      <c r="AC461">
        <v>0</v>
      </c>
      <c r="AD461">
        <v>121.4</v>
      </c>
      <c r="AE461">
        <v>5356.23</v>
      </c>
      <c r="AF461">
        <v>7091</v>
      </c>
      <c r="AG461" t="s">
        <v>916</v>
      </c>
      <c r="AH461" t="s">
        <v>65</v>
      </c>
      <c r="AI461" t="s">
        <v>65</v>
      </c>
      <c r="AJ461" t="s">
        <v>66</v>
      </c>
      <c r="AK461" t="s">
        <v>66</v>
      </c>
      <c r="AL461" t="s">
        <v>66</v>
      </c>
      <c r="AM461" s="2" t="str">
        <f>HYPERLINK("https://transparencia.cidesi.mx/comprobantes/2021/CQ2100634 /C1FACTURA_1628688200889_340537671.pdf")</f>
        <v>https://transparencia.cidesi.mx/comprobantes/2021/CQ2100634 /C1FACTURA_1628688200889_340537671.pdf</v>
      </c>
      <c r="AN461" t="str">
        <f>HYPERLINK("https://transparencia.cidesi.mx/comprobantes/2021/CQ2100634 /C1FACTURA_1628688200889_340537671.pdf")</f>
        <v>https://transparencia.cidesi.mx/comprobantes/2021/CQ2100634 /C1FACTURA_1628688200889_340537671.pdf</v>
      </c>
      <c r="AO461" t="str">
        <f>HYPERLINK("https://transparencia.cidesi.mx/comprobantes/2021/CQ2100634 /C1FACTURA_1628688201769_340537671.xml")</f>
        <v>https://transparencia.cidesi.mx/comprobantes/2021/CQ2100634 /C1FACTURA_1628688201769_340537671.xml</v>
      </c>
      <c r="AP461" t="s">
        <v>972</v>
      </c>
      <c r="AQ461" t="s">
        <v>973</v>
      </c>
      <c r="AR461" t="s">
        <v>974</v>
      </c>
      <c r="AS461" t="s">
        <v>975</v>
      </c>
      <c r="AT461" s="1">
        <v>44424</v>
      </c>
      <c r="AU461" s="1">
        <v>44438</v>
      </c>
    </row>
    <row r="462" spans="1:47" x14ac:dyDescent="0.3">
      <c r="A462" t="s">
        <v>246</v>
      </c>
      <c r="B462" t="s">
        <v>182</v>
      </c>
      <c r="C462" t="s">
        <v>183</v>
      </c>
      <c r="D462">
        <v>636</v>
      </c>
      <c r="E462" t="s">
        <v>910</v>
      </c>
      <c r="F462" t="s">
        <v>911</v>
      </c>
      <c r="G462" t="s">
        <v>912</v>
      </c>
      <c r="H462" t="s">
        <v>968</v>
      </c>
      <c r="I462" t="s">
        <v>54</v>
      </c>
      <c r="J462" t="s">
        <v>969</v>
      </c>
      <c r="K462" t="s">
        <v>56</v>
      </c>
      <c r="L462">
        <v>0</v>
      </c>
      <c r="M462" t="s">
        <v>73</v>
      </c>
      <c r="N462">
        <v>0</v>
      </c>
      <c r="O462" t="s">
        <v>58</v>
      </c>
      <c r="P462" t="s">
        <v>59</v>
      </c>
      <c r="Q462" t="s">
        <v>970</v>
      </c>
      <c r="R462" t="s">
        <v>969</v>
      </c>
      <c r="S462" s="1">
        <v>44408</v>
      </c>
      <c r="T462" s="1">
        <v>44414</v>
      </c>
      <c r="U462">
        <v>37501</v>
      </c>
      <c r="V462" t="s">
        <v>61</v>
      </c>
      <c r="W462" t="s">
        <v>971</v>
      </c>
      <c r="X462" s="1">
        <v>44419</v>
      </c>
      <c r="Y462" t="s">
        <v>63</v>
      </c>
      <c r="Z462">
        <v>205.29</v>
      </c>
      <c r="AA462">
        <v>16</v>
      </c>
      <c r="AB462">
        <v>10.5</v>
      </c>
      <c r="AC462">
        <v>3.44</v>
      </c>
      <c r="AD462">
        <v>219.23</v>
      </c>
      <c r="AE462">
        <v>5356.23</v>
      </c>
      <c r="AF462">
        <v>7091</v>
      </c>
      <c r="AG462" t="s">
        <v>916</v>
      </c>
      <c r="AH462" t="s">
        <v>65</v>
      </c>
      <c r="AI462" t="s">
        <v>65</v>
      </c>
      <c r="AJ462" t="s">
        <v>66</v>
      </c>
      <c r="AK462" t="s">
        <v>66</v>
      </c>
      <c r="AL462" t="s">
        <v>66</v>
      </c>
      <c r="AM462" s="2" t="str">
        <f>HYPERLINK("https://transparencia.cidesi.mx/comprobantes/2021/CQ2100634 /C2FACTURA_1628690267539_340540815.pdf")</f>
        <v>https://transparencia.cidesi.mx/comprobantes/2021/CQ2100634 /C2FACTURA_1628690267539_340540815.pdf</v>
      </c>
      <c r="AN462" t="str">
        <f>HYPERLINK("https://transparencia.cidesi.mx/comprobantes/2021/CQ2100634 /C2FACTURA_1628690267539_340540815.pdf")</f>
        <v>https://transparencia.cidesi.mx/comprobantes/2021/CQ2100634 /C2FACTURA_1628690267539_340540815.pdf</v>
      </c>
      <c r="AO462" t="str">
        <f>HYPERLINK("https://transparencia.cidesi.mx/comprobantes/2021/CQ2100634 /C2FACTURA_1628690268939_340540815.xml")</f>
        <v>https://transparencia.cidesi.mx/comprobantes/2021/CQ2100634 /C2FACTURA_1628690268939_340540815.xml</v>
      </c>
      <c r="AP462" t="s">
        <v>972</v>
      </c>
      <c r="AQ462" t="s">
        <v>973</v>
      </c>
      <c r="AR462" t="s">
        <v>974</v>
      </c>
      <c r="AS462" t="s">
        <v>975</v>
      </c>
      <c r="AT462" s="1">
        <v>44424</v>
      </c>
      <c r="AU462" s="1">
        <v>44438</v>
      </c>
    </row>
    <row r="463" spans="1:47" x14ac:dyDescent="0.3">
      <c r="A463" t="s">
        <v>246</v>
      </c>
      <c r="B463" t="s">
        <v>182</v>
      </c>
      <c r="C463" t="s">
        <v>183</v>
      </c>
      <c r="D463">
        <v>636</v>
      </c>
      <c r="E463" t="s">
        <v>910</v>
      </c>
      <c r="F463" t="s">
        <v>911</v>
      </c>
      <c r="G463" t="s">
        <v>912</v>
      </c>
      <c r="H463" t="s">
        <v>968</v>
      </c>
      <c r="I463" t="s">
        <v>54</v>
      </c>
      <c r="J463" t="s">
        <v>969</v>
      </c>
      <c r="K463" t="s">
        <v>56</v>
      </c>
      <c r="L463">
        <v>0</v>
      </c>
      <c r="M463" t="s">
        <v>73</v>
      </c>
      <c r="N463">
        <v>0</v>
      </c>
      <c r="O463" t="s">
        <v>58</v>
      </c>
      <c r="P463" t="s">
        <v>59</v>
      </c>
      <c r="Q463" t="s">
        <v>970</v>
      </c>
      <c r="R463" t="s">
        <v>969</v>
      </c>
      <c r="S463" s="1">
        <v>44408</v>
      </c>
      <c r="T463" s="1">
        <v>44414</v>
      </c>
      <c r="U463">
        <v>37501</v>
      </c>
      <c r="V463" t="s">
        <v>61</v>
      </c>
      <c r="W463" t="s">
        <v>971</v>
      </c>
      <c r="X463" s="1">
        <v>44419</v>
      </c>
      <c r="Y463" t="s">
        <v>63</v>
      </c>
      <c r="Z463">
        <v>112.57</v>
      </c>
      <c r="AA463">
        <v>16</v>
      </c>
      <c r="AB463">
        <v>7.45</v>
      </c>
      <c r="AC463">
        <v>1.48</v>
      </c>
      <c r="AD463">
        <v>121.5</v>
      </c>
      <c r="AE463">
        <v>5356.23</v>
      </c>
      <c r="AF463">
        <v>7091</v>
      </c>
      <c r="AG463" t="s">
        <v>916</v>
      </c>
      <c r="AH463" t="s">
        <v>65</v>
      </c>
      <c r="AI463" t="s">
        <v>65</v>
      </c>
      <c r="AJ463" t="s">
        <v>66</v>
      </c>
      <c r="AK463" t="s">
        <v>66</v>
      </c>
      <c r="AL463" t="s">
        <v>66</v>
      </c>
      <c r="AM463" s="2" t="str">
        <f>HYPERLINK("https://transparencia.cidesi.mx/comprobantes/2021/CQ2100634 /C3FACTURA_1628690099140_340540505.pdf")</f>
        <v>https://transparencia.cidesi.mx/comprobantes/2021/CQ2100634 /C3FACTURA_1628690099140_340540505.pdf</v>
      </c>
      <c r="AN463" t="str">
        <f>HYPERLINK("https://transparencia.cidesi.mx/comprobantes/2021/CQ2100634 /C3FACTURA_1628690099140_340540505.pdf")</f>
        <v>https://transparencia.cidesi.mx/comprobantes/2021/CQ2100634 /C3FACTURA_1628690099140_340540505.pdf</v>
      </c>
      <c r="AO463" t="str">
        <f>HYPERLINK("https://transparencia.cidesi.mx/comprobantes/2021/CQ2100634 /C3FACTURA_1628690101380_340540505.xml")</f>
        <v>https://transparencia.cidesi.mx/comprobantes/2021/CQ2100634 /C3FACTURA_1628690101380_340540505.xml</v>
      </c>
      <c r="AP463" t="s">
        <v>972</v>
      </c>
      <c r="AQ463" t="s">
        <v>973</v>
      </c>
      <c r="AR463" t="s">
        <v>974</v>
      </c>
      <c r="AS463" t="s">
        <v>975</v>
      </c>
      <c r="AT463" s="1">
        <v>44424</v>
      </c>
      <c r="AU463" s="1">
        <v>44438</v>
      </c>
    </row>
    <row r="464" spans="1:47" x14ac:dyDescent="0.3">
      <c r="A464" t="s">
        <v>246</v>
      </c>
      <c r="B464" t="s">
        <v>182</v>
      </c>
      <c r="C464" t="s">
        <v>183</v>
      </c>
      <c r="D464">
        <v>636</v>
      </c>
      <c r="E464" t="s">
        <v>910</v>
      </c>
      <c r="F464" t="s">
        <v>911</v>
      </c>
      <c r="G464" t="s">
        <v>912</v>
      </c>
      <c r="H464" t="s">
        <v>968</v>
      </c>
      <c r="I464" t="s">
        <v>54</v>
      </c>
      <c r="J464" t="s">
        <v>969</v>
      </c>
      <c r="K464" t="s">
        <v>56</v>
      </c>
      <c r="L464">
        <v>0</v>
      </c>
      <c r="M464" t="s">
        <v>73</v>
      </c>
      <c r="N464">
        <v>0</v>
      </c>
      <c r="O464" t="s">
        <v>58</v>
      </c>
      <c r="P464" t="s">
        <v>59</v>
      </c>
      <c r="Q464" t="s">
        <v>970</v>
      </c>
      <c r="R464" t="s">
        <v>969</v>
      </c>
      <c r="S464" s="1">
        <v>44408</v>
      </c>
      <c r="T464" s="1">
        <v>44414</v>
      </c>
      <c r="U464">
        <v>37501</v>
      </c>
      <c r="V464" t="s">
        <v>61</v>
      </c>
      <c r="W464" t="s">
        <v>971</v>
      </c>
      <c r="X464" s="1">
        <v>44419</v>
      </c>
      <c r="Y464" t="s">
        <v>63</v>
      </c>
      <c r="Z464">
        <v>223.15</v>
      </c>
      <c r="AA464">
        <v>16</v>
      </c>
      <c r="AB464">
        <v>17.850000000000001</v>
      </c>
      <c r="AC464">
        <v>24.1</v>
      </c>
      <c r="AD464">
        <v>265.10000000000002</v>
      </c>
      <c r="AE464">
        <v>5356.23</v>
      </c>
      <c r="AF464">
        <v>7091</v>
      </c>
      <c r="AG464" t="s">
        <v>916</v>
      </c>
      <c r="AH464" t="s">
        <v>65</v>
      </c>
      <c r="AI464" t="s">
        <v>65</v>
      </c>
      <c r="AJ464" t="s">
        <v>66</v>
      </c>
      <c r="AK464" t="s">
        <v>66</v>
      </c>
      <c r="AL464" t="s">
        <v>66</v>
      </c>
      <c r="AM464" s="2" t="str">
        <f>HYPERLINK("https://transparencia.cidesi.mx/comprobantes/2021/CQ2100634 /C4Factura_SANP18831.pdf")</f>
        <v>https://transparencia.cidesi.mx/comprobantes/2021/CQ2100634 /C4Factura_SANP18831.pdf</v>
      </c>
      <c r="AN464" t="str">
        <f>HYPERLINK("https://transparencia.cidesi.mx/comprobantes/2021/CQ2100634 /C4Factura_SANP18831.pdf")</f>
        <v>https://transparencia.cidesi.mx/comprobantes/2021/CQ2100634 /C4Factura_SANP18831.pdf</v>
      </c>
      <c r="AO464" t="str">
        <f>HYPERLINK("https://transparencia.cidesi.mx/comprobantes/2021/CQ2100634 /C4Factura_SANP18831.xml")</f>
        <v>https://transparencia.cidesi.mx/comprobantes/2021/CQ2100634 /C4Factura_SANP18831.xml</v>
      </c>
      <c r="AP464" t="s">
        <v>972</v>
      </c>
      <c r="AQ464" t="s">
        <v>973</v>
      </c>
      <c r="AR464" t="s">
        <v>974</v>
      </c>
      <c r="AS464" t="s">
        <v>975</v>
      </c>
      <c r="AT464" s="1">
        <v>44424</v>
      </c>
      <c r="AU464" s="1">
        <v>44438</v>
      </c>
    </row>
    <row r="465" spans="1:47" x14ac:dyDescent="0.3">
      <c r="A465" t="s">
        <v>246</v>
      </c>
      <c r="B465" t="s">
        <v>182</v>
      </c>
      <c r="C465" t="s">
        <v>183</v>
      </c>
      <c r="D465">
        <v>636</v>
      </c>
      <c r="E465" t="s">
        <v>910</v>
      </c>
      <c r="F465" t="s">
        <v>911</v>
      </c>
      <c r="G465" t="s">
        <v>912</v>
      </c>
      <c r="H465" t="s">
        <v>968</v>
      </c>
      <c r="I465" t="s">
        <v>54</v>
      </c>
      <c r="J465" t="s">
        <v>969</v>
      </c>
      <c r="K465" t="s">
        <v>56</v>
      </c>
      <c r="L465">
        <v>0</v>
      </c>
      <c r="M465" t="s">
        <v>73</v>
      </c>
      <c r="N465">
        <v>0</v>
      </c>
      <c r="O465" t="s">
        <v>58</v>
      </c>
      <c r="P465" t="s">
        <v>59</v>
      </c>
      <c r="Q465" t="s">
        <v>970</v>
      </c>
      <c r="R465" t="s">
        <v>969</v>
      </c>
      <c r="S465" s="1">
        <v>44408</v>
      </c>
      <c r="T465" s="1">
        <v>44414</v>
      </c>
      <c r="U465">
        <v>37501</v>
      </c>
      <c r="V465" t="s">
        <v>61</v>
      </c>
      <c r="W465" t="s">
        <v>971</v>
      </c>
      <c r="X465" s="1">
        <v>44419</v>
      </c>
      <c r="Y465" t="s">
        <v>63</v>
      </c>
      <c r="Z465">
        <v>500</v>
      </c>
      <c r="AA465">
        <v>16</v>
      </c>
      <c r="AB465">
        <v>40</v>
      </c>
      <c r="AC465">
        <v>0</v>
      </c>
      <c r="AD465">
        <v>540</v>
      </c>
      <c r="AE465">
        <v>5356.23</v>
      </c>
      <c r="AF465">
        <v>7091</v>
      </c>
      <c r="AG465" t="s">
        <v>916</v>
      </c>
      <c r="AH465" t="s">
        <v>65</v>
      </c>
      <c r="AI465" t="s">
        <v>65</v>
      </c>
      <c r="AJ465" t="s">
        <v>66</v>
      </c>
      <c r="AK465" t="s">
        <v>66</v>
      </c>
      <c r="AL465" t="s">
        <v>66</v>
      </c>
      <c r="AM465" s="2" t="str">
        <f>HYPERLINK("https://transparencia.cidesi.mx/comprobantes/2021/CQ2100634 /C5230F4D6E-71DF-4B33-8032-7B7D005A80BF.pdf")</f>
        <v>https://transparencia.cidesi.mx/comprobantes/2021/CQ2100634 /C5230F4D6E-71DF-4B33-8032-7B7D005A80BF.pdf</v>
      </c>
      <c r="AN465" t="str">
        <f>HYPERLINK("https://transparencia.cidesi.mx/comprobantes/2021/CQ2100634 /C5230F4D6E-71DF-4B33-8032-7B7D005A80BF.pdf")</f>
        <v>https://transparencia.cidesi.mx/comprobantes/2021/CQ2100634 /C5230F4D6E-71DF-4B33-8032-7B7D005A80BF.pdf</v>
      </c>
      <c r="AO465" t="str">
        <f>HYPERLINK("https://transparencia.cidesi.mx/comprobantes/2021/CQ2100634 /C5230F4D6E-71DF-4B33-8032-7B7D005A80BF.xml")</f>
        <v>https://transparencia.cidesi.mx/comprobantes/2021/CQ2100634 /C5230F4D6E-71DF-4B33-8032-7B7D005A80BF.xml</v>
      </c>
      <c r="AP465" t="s">
        <v>972</v>
      </c>
      <c r="AQ465" t="s">
        <v>973</v>
      </c>
      <c r="AR465" t="s">
        <v>974</v>
      </c>
      <c r="AS465" t="s">
        <v>975</v>
      </c>
      <c r="AT465" s="1">
        <v>44424</v>
      </c>
      <c r="AU465" s="1">
        <v>44438</v>
      </c>
    </row>
    <row r="466" spans="1:47" x14ac:dyDescent="0.3">
      <c r="A466" t="s">
        <v>246</v>
      </c>
      <c r="B466" t="s">
        <v>182</v>
      </c>
      <c r="C466" t="s">
        <v>183</v>
      </c>
      <c r="D466">
        <v>636</v>
      </c>
      <c r="E466" t="s">
        <v>910</v>
      </c>
      <c r="F466" t="s">
        <v>911</v>
      </c>
      <c r="G466" t="s">
        <v>912</v>
      </c>
      <c r="H466" t="s">
        <v>968</v>
      </c>
      <c r="I466" t="s">
        <v>54</v>
      </c>
      <c r="J466" t="s">
        <v>969</v>
      </c>
      <c r="K466" t="s">
        <v>56</v>
      </c>
      <c r="L466">
        <v>0</v>
      </c>
      <c r="M466" t="s">
        <v>73</v>
      </c>
      <c r="N466">
        <v>0</v>
      </c>
      <c r="O466" t="s">
        <v>58</v>
      </c>
      <c r="P466" t="s">
        <v>59</v>
      </c>
      <c r="Q466" t="s">
        <v>970</v>
      </c>
      <c r="R466" t="s">
        <v>969</v>
      </c>
      <c r="S466" s="1">
        <v>44408</v>
      </c>
      <c r="T466" s="1">
        <v>44414</v>
      </c>
      <c r="U466">
        <v>37501</v>
      </c>
      <c r="V466" t="s">
        <v>61</v>
      </c>
      <c r="W466" t="s">
        <v>971</v>
      </c>
      <c r="X466" s="1">
        <v>44419</v>
      </c>
      <c r="Y466" t="s">
        <v>63</v>
      </c>
      <c r="Z466">
        <v>303.45</v>
      </c>
      <c r="AA466">
        <v>16</v>
      </c>
      <c r="AB466">
        <v>48.55</v>
      </c>
      <c r="AC466">
        <v>0</v>
      </c>
      <c r="AD466">
        <v>352</v>
      </c>
      <c r="AE466">
        <v>5356.23</v>
      </c>
      <c r="AF466">
        <v>7091</v>
      </c>
      <c r="AG466" t="s">
        <v>916</v>
      </c>
      <c r="AH466" t="s">
        <v>65</v>
      </c>
      <c r="AI466" t="s">
        <v>65</v>
      </c>
      <c r="AJ466" t="s">
        <v>66</v>
      </c>
      <c r="AK466" t="s">
        <v>66</v>
      </c>
      <c r="AL466" t="s">
        <v>66</v>
      </c>
      <c r="AM466" s="2" t="str">
        <f>HYPERLINK("https://transparencia.cidesi.mx/comprobantes/2021/CQ2100634 /C6F0000059794.pdf")</f>
        <v>https://transparencia.cidesi.mx/comprobantes/2021/CQ2100634 /C6F0000059794.pdf</v>
      </c>
      <c r="AN466" t="str">
        <f>HYPERLINK("https://transparencia.cidesi.mx/comprobantes/2021/CQ2100634 /C6F0000059794.pdf")</f>
        <v>https://transparencia.cidesi.mx/comprobantes/2021/CQ2100634 /C6F0000059794.pdf</v>
      </c>
      <c r="AO466" t="str">
        <f>HYPERLINK("https://transparencia.cidesi.mx/comprobantes/2021/CQ2100634 /C6F0000059794.xml")</f>
        <v>https://transparencia.cidesi.mx/comprobantes/2021/CQ2100634 /C6F0000059794.xml</v>
      </c>
      <c r="AP466" t="s">
        <v>972</v>
      </c>
      <c r="AQ466" t="s">
        <v>973</v>
      </c>
      <c r="AR466" t="s">
        <v>974</v>
      </c>
      <c r="AS466" t="s">
        <v>975</v>
      </c>
      <c r="AT466" s="1">
        <v>44424</v>
      </c>
      <c r="AU466" s="1">
        <v>44438</v>
      </c>
    </row>
    <row r="467" spans="1:47" x14ac:dyDescent="0.3">
      <c r="A467" t="s">
        <v>246</v>
      </c>
      <c r="B467" t="s">
        <v>182</v>
      </c>
      <c r="C467" t="s">
        <v>183</v>
      </c>
      <c r="D467">
        <v>636</v>
      </c>
      <c r="E467" t="s">
        <v>910</v>
      </c>
      <c r="F467" t="s">
        <v>911</v>
      </c>
      <c r="G467" t="s">
        <v>912</v>
      </c>
      <c r="H467" t="s">
        <v>968</v>
      </c>
      <c r="I467" t="s">
        <v>54</v>
      </c>
      <c r="J467" t="s">
        <v>969</v>
      </c>
      <c r="K467" t="s">
        <v>56</v>
      </c>
      <c r="L467">
        <v>0</v>
      </c>
      <c r="M467" t="s">
        <v>73</v>
      </c>
      <c r="N467">
        <v>0</v>
      </c>
      <c r="O467" t="s">
        <v>58</v>
      </c>
      <c r="P467" t="s">
        <v>59</v>
      </c>
      <c r="Q467" t="s">
        <v>970</v>
      </c>
      <c r="R467" t="s">
        <v>969</v>
      </c>
      <c r="S467" s="1">
        <v>44408</v>
      </c>
      <c r="T467" s="1">
        <v>44414</v>
      </c>
      <c r="U467">
        <v>37501</v>
      </c>
      <c r="V467" t="s">
        <v>61</v>
      </c>
      <c r="W467" t="s">
        <v>971</v>
      </c>
      <c r="X467" s="1">
        <v>44419</v>
      </c>
      <c r="Y467" t="s">
        <v>63</v>
      </c>
      <c r="Z467">
        <v>134.26</v>
      </c>
      <c r="AA467">
        <v>16</v>
      </c>
      <c r="AB467">
        <v>10.74</v>
      </c>
      <c r="AC467">
        <v>0</v>
      </c>
      <c r="AD467">
        <v>145</v>
      </c>
      <c r="AE467">
        <v>5356.23</v>
      </c>
      <c r="AF467">
        <v>7091</v>
      </c>
      <c r="AG467" t="s">
        <v>916</v>
      </c>
      <c r="AH467" t="s">
        <v>65</v>
      </c>
      <c r="AI467" t="s">
        <v>65</v>
      </c>
      <c r="AJ467" t="s">
        <v>66</v>
      </c>
      <c r="AK467" t="s">
        <v>66</v>
      </c>
      <c r="AL467" t="s">
        <v>66</v>
      </c>
      <c r="AM467" s="2" t="str">
        <f>HYPERLINK("https://transparencia.cidesi.mx/comprobantes/2021/CQ2100634 /C7afi0602029l6-a25044.pdf")</f>
        <v>https://transparencia.cidesi.mx/comprobantes/2021/CQ2100634 /C7afi0602029l6-a25044.pdf</v>
      </c>
      <c r="AN467" t="str">
        <f>HYPERLINK("https://transparencia.cidesi.mx/comprobantes/2021/CQ2100634 /C7afi0602029l6-a25044.pdf")</f>
        <v>https://transparencia.cidesi.mx/comprobantes/2021/CQ2100634 /C7afi0602029l6-a25044.pdf</v>
      </c>
      <c r="AO467" t="str">
        <f>HYPERLINK("https://transparencia.cidesi.mx/comprobantes/2021/CQ2100634 /C7afi0602029l6-a25044.xml")</f>
        <v>https://transparencia.cidesi.mx/comprobantes/2021/CQ2100634 /C7afi0602029l6-a25044.xml</v>
      </c>
      <c r="AP467" t="s">
        <v>972</v>
      </c>
      <c r="AQ467" t="s">
        <v>973</v>
      </c>
      <c r="AR467" t="s">
        <v>974</v>
      </c>
      <c r="AS467" t="s">
        <v>975</v>
      </c>
      <c r="AT467" s="1">
        <v>44424</v>
      </c>
      <c r="AU467" s="1">
        <v>44438</v>
      </c>
    </row>
    <row r="468" spans="1:47" x14ac:dyDescent="0.3">
      <c r="A468" t="s">
        <v>246</v>
      </c>
      <c r="B468" t="s">
        <v>182</v>
      </c>
      <c r="C468" t="s">
        <v>183</v>
      </c>
      <c r="D468">
        <v>636</v>
      </c>
      <c r="E468" t="s">
        <v>910</v>
      </c>
      <c r="F468" t="s">
        <v>911</v>
      </c>
      <c r="G468" t="s">
        <v>912</v>
      </c>
      <c r="H468" t="s">
        <v>968</v>
      </c>
      <c r="I468" t="s">
        <v>54</v>
      </c>
      <c r="J468" t="s">
        <v>969</v>
      </c>
      <c r="K468" t="s">
        <v>56</v>
      </c>
      <c r="L468">
        <v>0</v>
      </c>
      <c r="M468" t="s">
        <v>73</v>
      </c>
      <c r="N468">
        <v>0</v>
      </c>
      <c r="O468" t="s">
        <v>58</v>
      </c>
      <c r="P468" t="s">
        <v>59</v>
      </c>
      <c r="Q468" t="s">
        <v>970</v>
      </c>
      <c r="R468" t="s">
        <v>969</v>
      </c>
      <c r="S468" s="1">
        <v>44408</v>
      </c>
      <c r="T468" s="1">
        <v>44414</v>
      </c>
      <c r="U468">
        <v>37501</v>
      </c>
      <c r="V468" t="s">
        <v>104</v>
      </c>
      <c r="W468" t="s">
        <v>971</v>
      </c>
      <c r="X468" s="1">
        <v>44419</v>
      </c>
      <c r="Y468" t="s">
        <v>63</v>
      </c>
      <c r="Z468">
        <v>700</v>
      </c>
      <c r="AA468">
        <v>16</v>
      </c>
      <c r="AB468">
        <v>56</v>
      </c>
      <c r="AC468">
        <v>14</v>
      </c>
      <c r="AD468">
        <v>770</v>
      </c>
      <c r="AE468">
        <v>5356.23</v>
      </c>
      <c r="AF468">
        <v>7091</v>
      </c>
      <c r="AG468" t="s">
        <v>966</v>
      </c>
      <c r="AH468" t="s">
        <v>65</v>
      </c>
      <c r="AI468" t="s">
        <v>65</v>
      </c>
      <c r="AJ468" t="s">
        <v>66</v>
      </c>
      <c r="AK468" t="s">
        <v>66</v>
      </c>
      <c r="AL468" t="s">
        <v>66</v>
      </c>
      <c r="AM468" s="2" t="str">
        <f>HYPERLINK("https://transparencia.cidesi.mx/comprobantes/2021/CQ2100634 /C8gfe130812ej3-f021658.pdf")</f>
        <v>https://transparencia.cidesi.mx/comprobantes/2021/CQ2100634 /C8gfe130812ej3-f021658.pdf</v>
      </c>
      <c r="AN468" t="str">
        <f>HYPERLINK("https://transparencia.cidesi.mx/comprobantes/2021/CQ2100634 /C8gfe130812ej3-f021658.pdf")</f>
        <v>https://transparencia.cidesi.mx/comprobantes/2021/CQ2100634 /C8gfe130812ej3-f021658.pdf</v>
      </c>
      <c r="AO468" t="str">
        <f>HYPERLINK("https://transparencia.cidesi.mx/comprobantes/2021/CQ2100634 /C8gfe130812ej3-f021658.xml")</f>
        <v>https://transparencia.cidesi.mx/comprobantes/2021/CQ2100634 /C8gfe130812ej3-f021658.xml</v>
      </c>
      <c r="AP468" t="s">
        <v>972</v>
      </c>
      <c r="AQ468" t="s">
        <v>973</v>
      </c>
      <c r="AR468" t="s">
        <v>974</v>
      </c>
      <c r="AS468" t="s">
        <v>975</v>
      </c>
      <c r="AT468" s="1">
        <v>44424</v>
      </c>
      <c r="AU468" s="1">
        <v>44438</v>
      </c>
    </row>
    <row r="469" spans="1:47" x14ac:dyDescent="0.3">
      <c r="A469" t="s">
        <v>246</v>
      </c>
      <c r="B469" t="s">
        <v>182</v>
      </c>
      <c r="C469" t="s">
        <v>183</v>
      </c>
      <c r="D469">
        <v>636</v>
      </c>
      <c r="E469" t="s">
        <v>910</v>
      </c>
      <c r="F469" t="s">
        <v>911</v>
      </c>
      <c r="G469" t="s">
        <v>912</v>
      </c>
      <c r="H469" t="s">
        <v>968</v>
      </c>
      <c r="I469" t="s">
        <v>54</v>
      </c>
      <c r="J469" t="s">
        <v>969</v>
      </c>
      <c r="K469" t="s">
        <v>56</v>
      </c>
      <c r="L469">
        <v>0</v>
      </c>
      <c r="M469" t="s">
        <v>73</v>
      </c>
      <c r="N469">
        <v>0</v>
      </c>
      <c r="O469" t="s">
        <v>58</v>
      </c>
      <c r="P469" t="s">
        <v>59</v>
      </c>
      <c r="Q469" t="s">
        <v>970</v>
      </c>
      <c r="R469" t="s">
        <v>969</v>
      </c>
      <c r="S469" s="1">
        <v>44408</v>
      </c>
      <c r="T469" s="1">
        <v>44414</v>
      </c>
      <c r="U469">
        <v>37501</v>
      </c>
      <c r="V469" t="s">
        <v>61</v>
      </c>
      <c r="W469" t="s">
        <v>971</v>
      </c>
      <c r="X469" s="1">
        <v>44419</v>
      </c>
      <c r="Y469" t="s">
        <v>63</v>
      </c>
      <c r="Z469">
        <v>263.89</v>
      </c>
      <c r="AA469">
        <v>16</v>
      </c>
      <c r="AB469">
        <v>21.11</v>
      </c>
      <c r="AC469">
        <v>0</v>
      </c>
      <c r="AD469">
        <v>285</v>
      </c>
      <c r="AE469">
        <v>5356.23</v>
      </c>
      <c r="AF469">
        <v>7091</v>
      </c>
      <c r="AG469" t="s">
        <v>916</v>
      </c>
      <c r="AH469" t="s">
        <v>65</v>
      </c>
      <c r="AI469" t="s">
        <v>65</v>
      </c>
      <c r="AJ469" t="s">
        <v>66</v>
      </c>
      <c r="AK469" t="s">
        <v>66</v>
      </c>
      <c r="AL469" t="s">
        <v>66</v>
      </c>
      <c r="AM469" s="2" t="str">
        <f>HYPERLINK("https://transparencia.cidesi.mx/comprobantes/2021/CQ2100634 /C9KSJ1904237G9_FA1860_01-08-2021.pdf")</f>
        <v>https://transparencia.cidesi.mx/comprobantes/2021/CQ2100634 /C9KSJ1904237G9_FA1860_01-08-2021.pdf</v>
      </c>
      <c r="AN469" t="str">
        <f>HYPERLINK("https://transparencia.cidesi.mx/comprobantes/2021/CQ2100634 /C9KSJ1904237G9_FA1860_01-08-2021.pdf")</f>
        <v>https://transparencia.cidesi.mx/comprobantes/2021/CQ2100634 /C9KSJ1904237G9_FA1860_01-08-2021.pdf</v>
      </c>
      <c r="AO469" t="str">
        <f>HYPERLINK("https://transparencia.cidesi.mx/comprobantes/2021/CQ2100634 /C9KSJ1904237G9_FA1860_01-08-2021.xml")</f>
        <v>https://transparencia.cidesi.mx/comprobantes/2021/CQ2100634 /C9KSJ1904237G9_FA1860_01-08-2021.xml</v>
      </c>
      <c r="AP469" t="s">
        <v>972</v>
      </c>
      <c r="AQ469" t="s">
        <v>973</v>
      </c>
      <c r="AR469" t="s">
        <v>974</v>
      </c>
      <c r="AS469" t="s">
        <v>975</v>
      </c>
      <c r="AT469" s="1">
        <v>44424</v>
      </c>
      <c r="AU469" s="1">
        <v>44438</v>
      </c>
    </row>
    <row r="470" spans="1:47" x14ac:dyDescent="0.3">
      <c r="A470" t="s">
        <v>246</v>
      </c>
      <c r="B470" t="s">
        <v>182</v>
      </c>
      <c r="C470" t="s">
        <v>183</v>
      </c>
      <c r="D470">
        <v>636</v>
      </c>
      <c r="E470" t="s">
        <v>910</v>
      </c>
      <c r="F470" t="s">
        <v>911</v>
      </c>
      <c r="G470" t="s">
        <v>912</v>
      </c>
      <c r="H470" t="s">
        <v>968</v>
      </c>
      <c r="I470" t="s">
        <v>54</v>
      </c>
      <c r="J470" t="s">
        <v>969</v>
      </c>
      <c r="K470" t="s">
        <v>56</v>
      </c>
      <c r="L470">
        <v>0</v>
      </c>
      <c r="M470" t="s">
        <v>73</v>
      </c>
      <c r="N470">
        <v>0</v>
      </c>
      <c r="O470" t="s">
        <v>58</v>
      </c>
      <c r="P470" t="s">
        <v>59</v>
      </c>
      <c r="Q470" t="s">
        <v>970</v>
      </c>
      <c r="R470" t="s">
        <v>969</v>
      </c>
      <c r="S470" s="1">
        <v>44408</v>
      </c>
      <c r="T470" s="1">
        <v>44414</v>
      </c>
      <c r="U470">
        <v>37501</v>
      </c>
      <c r="V470" t="s">
        <v>61</v>
      </c>
      <c r="W470" t="s">
        <v>971</v>
      </c>
      <c r="X470" s="1">
        <v>44419</v>
      </c>
      <c r="Y470" t="s">
        <v>63</v>
      </c>
      <c r="Z470">
        <v>319.44</v>
      </c>
      <c r="AA470">
        <v>16</v>
      </c>
      <c r="AB470">
        <v>25.56</v>
      </c>
      <c r="AC470">
        <v>34.5</v>
      </c>
      <c r="AD470">
        <v>379.5</v>
      </c>
      <c r="AE470">
        <v>5356.23</v>
      </c>
      <c r="AF470">
        <v>7091</v>
      </c>
      <c r="AG470" t="s">
        <v>916</v>
      </c>
      <c r="AH470" t="s">
        <v>65</v>
      </c>
      <c r="AI470" t="s">
        <v>65</v>
      </c>
      <c r="AJ470" t="s">
        <v>66</v>
      </c>
      <c r="AK470" t="s">
        <v>66</v>
      </c>
      <c r="AL470" t="s">
        <v>66</v>
      </c>
      <c r="AM470" s="2" t="str">
        <f>HYPERLINK("https://transparencia.cidesi.mx/comprobantes/2021/CQ2100634 /C10F0000012483.pdf")</f>
        <v>https://transparencia.cidesi.mx/comprobantes/2021/CQ2100634 /C10F0000012483.pdf</v>
      </c>
      <c r="AN470" t="str">
        <f>HYPERLINK("https://transparencia.cidesi.mx/comprobantes/2021/CQ2100634 /C10F0000012483.pdf")</f>
        <v>https://transparencia.cidesi.mx/comprobantes/2021/CQ2100634 /C10F0000012483.pdf</v>
      </c>
      <c r="AO470" t="str">
        <f>HYPERLINK("https://transparencia.cidesi.mx/comprobantes/2021/CQ2100634 /C10F0000012483.xml")</f>
        <v>https://transparencia.cidesi.mx/comprobantes/2021/CQ2100634 /C10F0000012483.xml</v>
      </c>
      <c r="AP470" t="s">
        <v>972</v>
      </c>
      <c r="AQ470" t="s">
        <v>973</v>
      </c>
      <c r="AR470" t="s">
        <v>974</v>
      </c>
      <c r="AS470" t="s">
        <v>975</v>
      </c>
      <c r="AT470" s="1">
        <v>44424</v>
      </c>
      <c r="AU470" s="1">
        <v>44438</v>
      </c>
    </row>
    <row r="471" spans="1:47" x14ac:dyDescent="0.3">
      <c r="A471" t="s">
        <v>246</v>
      </c>
      <c r="B471" t="s">
        <v>182</v>
      </c>
      <c r="C471" t="s">
        <v>183</v>
      </c>
      <c r="D471">
        <v>636</v>
      </c>
      <c r="E471" t="s">
        <v>910</v>
      </c>
      <c r="F471" t="s">
        <v>911</v>
      </c>
      <c r="G471" t="s">
        <v>912</v>
      </c>
      <c r="H471" t="s">
        <v>968</v>
      </c>
      <c r="I471" t="s">
        <v>54</v>
      </c>
      <c r="J471" t="s">
        <v>969</v>
      </c>
      <c r="K471" t="s">
        <v>56</v>
      </c>
      <c r="L471">
        <v>0</v>
      </c>
      <c r="M471" t="s">
        <v>73</v>
      </c>
      <c r="N471">
        <v>0</v>
      </c>
      <c r="O471" t="s">
        <v>58</v>
      </c>
      <c r="P471" t="s">
        <v>59</v>
      </c>
      <c r="Q471" t="s">
        <v>970</v>
      </c>
      <c r="R471" t="s">
        <v>969</v>
      </c>
      <c r="S471" s="1">
        <v>44408</v>
      </c>
      <c r="T471" s="1">
        <v>44414</v>
      </c>
      <c r="U471">
        <v>37501</v>
      </c>
      <c r="V471" t="s">
        <v>61</v>
      </c>
      <c r="W471" t="s">
        <v>971</v>
      </c>
      <c r="X471" s="1">
        <v>44419</v>
      </c>
      <c r="Y471" t="s">
        <v>63</v>
      </c>
      <c r="Z471">
        <v>300.93</v>
      </c>
      <c r="AA471">
        <v>16</v>
      </c>
      <c r="AB471">
        <v>24.07</v>
      </c>
      <c r="AC471">
        <v>0</v>
      </c>
      <c r="AD471">
        <v>325</v>
      </c>
      <c r="AE471">
        <v>5356.23</v>
      </c>
      <c r="AF471">
        <v>7091</v>
      </c>
      <c r="AG471" t="s">
        <v>916</v>
      </c>
      <c r="AH471" t="s">
        <v>65</v>
      </c>
      <c r="AI471" t="s">
        <v>65</v>
      </c>
      <c r="AJ471" t="s">
        <v>66</v>
      </c>
      <c r="AK471" t="s">
        <v>66</v>
      </c>
      <c r="AL471" t="s">
        <v>66</v>
      </c>
      <c r="AM471" s="2" t="str">
        <f>HYPERLINK("https://transparencia.cidesi.mx/comprobantes/2021/CQ2100634 /C11afi0602029l6-a25037.pdf")</f>
        <v>https://transparencia.cidesi.mx/comprobantes/2021/CQ2100634 /C11afi0602029l6-a25037.pdf</v>
      </c>
      <c r="AN471" t="str">
        <f>HYPERLINK("https://transparencia.cidesi.mx/comprobantes/2021/CQ2100634 /C11afi0602029l6-a25037.pdf")</f>
        <v>https://transparencia.cidesi.mx/comprobantes/2021/CQ2100634 /C11afi0602029l6-a25037.pdf</v>
      </c>
      <c r="AO471" t="str">
        <f>HYPERLINK("https://transparencia.cidesi.mx/comprobantes/2021/CQ2100634 /C11afi0602029l6-a25037.xml")</f>
        <v>https://transparencia.cidesi.mx/comprobantes/2021/CQ2100634 /C11afi0602029l6-a25037.xml</v>
      </c>
      <c r="AP471" t="s">
        <v>972</v>
      </c>
      <c r="AQ471" t="s">
        <v>973</v>
      </c>
      <c r="AR471" t="s">
        <v>974</v>
      </c>
      <c r="AS471" t="s">
        <v>975</v>
      </c>
      <c r="AT471" s="1">
        <v>44424</v>
      </c>
      <c r="AU471" s="1">
        <v>44438</v>
      </c>
    </row>
    <row r="472" spans="1:47" x14ac:dyDescent="0.3">
      <c r="A472" t="s">
        <v>246</v>
      </c>
      <c r="B472" t="s">
        <v>182</v>
      </c>
      <c r="C472" t="s">
        <v>183</v>
      </c>
      <c r="D472">
        <v>636</v>
      </c>
      <c r="E472" t="s">
        <v>910</v>
      </c>
      <c r="F472" t="s">
        <v>911</v>
      </c>
      <c r="G472" t="s">
        <v>912</v>
      </c>
      <c r="H472" t="s">
        <v>968</v>
      </c>
      <c r="I472" t="s">
        <v>54</v>
      </c>
      <c r="J472" t="s">
        <v>969</v>
      </c>
      <c r="K472" t="s">
        <v>56</v>
      </c>
      <c r="L472">
        <v>0</v>
      </c>
      <c r="M472" t="s">
        <v>73</v>
      </c>
      <c r="N472">
        <v>0</v>
      </c>
      <c r="O472" t="s">
        <v>58</v>
      </c>
      <c r="P472" t="s">
        <v>59</v>
      </c>
      <c r="Q472" t="s">
        <v>970</v>
      </c>
      <c r="R472" t="s">
        <v>969</v>
      </c>
      <c r="S472" s="1">
        <v>44408</v>
      </c>
      <c r="T472" s="1">
        <v>44414</v>
      </c>
      <c r="U472">
        <v>37501</v>
      </c>
      <c r="V472" t="s">
        <v>104</v>
      </c>
      <c r="W472" t="s">
        <v>971</v>
      </c>
      <c r="X472" s="1">
        <v>44419</v>
      </c>
      <c r="Y472" t="s">
        <v>63</v>
      </c>
      <c r="Z472">
        <v>579.84</v>
      </c>
      <c r="AA472">
        <v>16</v>
      </c>
      <c r="AB472">
        <v>92.77</v>
      </c>
      <c r="AC472">
        <v>17.39</v>
      </c>
      <c r="AD472">
        <v>690</v>
      </c>
      <c r="AE472">
        <v>5356.23</v>
      </c>
      <c r="AF472">
        <v>7091</v>
      </c>
      <c r="AG472" t="s">
        <v>966</v>
      </c>
      <c r="AH472" t="s">
        <v>65</v>
      </c>
      <c r="AI472" t="s">
        <v>65</v>
      </c>
      <c r="AJ472" t="s">
        <v>66</v>
      </c>
      <c r="AK472" t="s">
        <v>66</v>
      </c>
      <c r="AL472" t="s">
        <v>66</v>
      </c>
      <c r="AM472" s="2" t="str">
        <f>HYPERLINK("https://transparencia.cidesi.mx/comprobantes/2021/CQ2100634 /C12CFD_MT72319_20210805_080521.pdf")</f>
        <v>https://transparencia.cidesi.mx/comprobantes/2021/CQ2100634 /C12CFD_MT72319_20210805_080521.pdf</v>
      </c>
      <c r="AN472" t="str">
        <f>HYPERLINK("https://transparencia.cidesi.mx/comprobantes/2021/CQ2100634 /C12CFD_MT72319_20210805_080521.pdf")</f>
        <v>https://transparencia.cidesi.mx/comprobantes/2021/CQ2100634 /C12CFD_MT72319_20210805_080521.pdf</v>
      </c>
      <c r="AO472" t="str">
        <f>HYPERLINK("https://transparencia.cidesi.mx/comprobantes/2021/CQ2100634 /C12SIGN_CFD_MT72319_20210805_080521.xml")</f>
        <v>https://transparencia.cidesi.mx/comprobantes/2021/CQ2100634 /C12SIGN_CFD_MT72319_20210805_080521.xml</v>
      </c>
      <c r="AP472" t="s">
        <v>972</v>
      </c>
      <c r="AQ472" t="s">
        <v>973</v>
      </c>
      <c r="AR472" t="s">
        <v>974</v>
      </c>
      <c r="AS472" t="s">
        <v>975</v>
      </c>
      <c r="AT472" s="1">
        <v>44424</v>
      </c>
      <c r="AU472" s="1">
        <v>44438</v>
      </c>
    </row>
    <row r="473" spans="1:47" x14ac:dyDescent="0.3">
      <c r="A473" t="s">
        <v>246</v>
      </c>
      <c r="B473" t="s">
        <v>182</v>
      </c>
      <c r="C473" t="s">
        <v>183</v>
      </c>
      <c r="D473">
        <v>636</v>
      </c>
      <c r="E473" t="s">
        <v>910</v>
      </c>
      <c r="F473" t="s">
        <v>911</v>
      </c>
      <c r="G473" t="s">
        <v>912</v>
      </c>
      <c r="H473" t="s">
        <v>968</v>
      </c>
      <c r="I473" t="s">
        <v>54</v>
      </c>
      <c r="J473" t="s">
        <v>969</v>
      </c>
      <c r="K473" t="s">
        <v>56</v>
      </c>
      <c r="L473">
        <v>0</v>
      </c>
      <c r="M473" t="s">
        <v>73</v>
      </c>
      <c r="N473">
        <v>0</v>
      </c>
      <c r="O473" t="s">
        <v>58</v>
      </c>
      <c r="P473" t="s">
        <v>59</v>
      </c>
      <c r="Q473" t="s">
        <v>970</v>
      </c>
      <c r="R473" t="s">
        <v>969</v>
      </c>
      <c r="S473" s="1">
        <v>44408</v>
      </c>
      <c r="T473" s="1">
        <v>44414</v>
      </c>
      <c r="U473">
        <v>37501</v>
      </c>
      <c r="V473" t="s">
        <v>61</v>
      </c>
      <c r="W473" t="s">
        <v>971</v>
      </c>
      <c r="X473" s="1">
        <v>44419</v>
      </c>
      <c r="Y473" t="s">
        <v>63</v>
      </c>
      <c r="Z473">
        <v>265.08999999999997</v>
      </c>
      <c r="AA473">
        <v>16</v>
      </c>
      <c r="AB473">
        <v>42.41</v>
      </c>
      <c r="AC473">
        <v>0</v>
      </c>
      <c r="AD473">
        <v>307.5</v>
      </c>
      <c r="AE473">
        <v>5356.23</v>
      </c>
      <c r="AF473">
        <v>7091</v>
      </c>
      <c r="AG473" t="s">
        <v>916</v>
      </c>
      <c r="AH473" t="s">
        <v>65</v>
      </c>
      <c r="AI473" t="s">
        <v>65</v>
      </c>
      <c r="AJ473" t="s">
        <v>66</v>
      </c>
      <c r="AK473" t="s">
        <v>66</v>
      </c>
      <c r="AL473" t="s">
        <v>66</v>
      </c>
      <c r="AM473" s="2" t="str">
        <f>HYPERLINK("https://transparencia.cidesi.mx/comprobantes/2021/CQ2100634 /C13CID840309UG7FF0000010217.pdf")</f>
        <v>https://transparencia.cidesi.mx/comprobantes/2021/CQ2100634 /C13CID840309UG7FF0000010217.pdf</v>
      </c>
      <c r="AN473" t="str">
        <f>HYPERLINK("https://transparencia.cidesi.mx/comprobantes/2021/CQ2100634 /C13CID840309UG7FF0000010217.pdf")</f>
        <v>https://transparencia.cidesi.mx/comprobantes/2021/CQ2100634 /C13CID840309UG7FF0000010217.pdf</v>
      </c>
      <c r="AO473" t="str">
        <f>HYPERLINK("https://transparencia.cidesi.mx/comprobantes/2021/CQ2100634 /C13CID840309UG7FF0000010217.xml")</f>
        <v>https://transparencia.cidesi.mx/comprobantes/2021/CQ2100634 /C13CID840309UG7FF0000010217.xml</v>
      </c>
      <c r="AP473" t="s">
        <v>972</v>
      </c>
      <c r="AQ473" t="s">
        <v>973</v>
      </c>
      <c r="AR473" t="s">
        <v>974</v>
      </c>
      <c r="AS473" t="s">
        <v>975</v>
      </c>
      <c r="AT473" s="1">
        <v>44424</v>
      </c>
      <c r="AU473" s="1">
        <v>44438</v>
      </c>
    </row>
    <row r="474" spans="1:47" x14ac:dyDescent="0.3">
      <c r="A474" t="s">
        <v>246</v>
      </c>
      <c r="B474" t="s">
        <v>182</v>
      </c>
      <c r="C474" t="s">
        <v>183</v>
      </c>
      <c r="D474">
        <v>636</v>
      </c>
      <c r="E474" t="s">
        <v>910</v>
      </c>
      <c r="F474" t="s">
        <v>911</v>
      </c>
      <c r="G474" t="s">
        <v>912</v>
      </c>
      <c r="H474" t="s">
        <v>968</v>
      </c>
      <c r="I474" t="s">
        <v>54</v>
      </c>
      <c r="J474" t="s">
        <v>969</v>
      </c>
      <c r="K474" t="s">
        <v>56</v>
      </c>
      <c r="L474">
        <v>0</v>
      </c>
      <c r="M474" t="s">
        <v>73</v>
      </c>
      <c r="N474">
        <v>0</v>
      </c>
      <c r="O474" t="s">
        <v>58</v>
      </c>
      <c r="P474" t="s">
        <v>59</v>
      </c>
      <c r="Q474" t="s">
        <v>970</v>
      </c>
      <c r="R474" t="s">
        <v>969</v>
      </c>
      <c r="S474" s="1">
        <v>44408</v>
      </c>
      <c r="T474" s="1">
        <v>44414</v>
      </c>
      <c r="U474">
        <v>37501</v>
      </c>
      <c r="V474" t="s">
        <v>61</v>
      </c>
      <c r="W474" t="s">
        <v>971</v>
      </c>
      <c r="X474" s="1">
        <v>44419</v>
      </c>
      <c r="Y474" t="s">
        <v>63</v>
      </c>
      <c r="Z474">
        <v>250</v>
      </c>
      <c r="AA474">
        <v>0</v>
      </c>
      <c r="AB474">
        <v>0</v>
      </c>
      <c r="AC474">
        <v>0</v>
      </c>
      <c r="AD474">
        <v>250</v>
      </c>
      <c r="AE474">
        <v>5356.23</v>
      </c>
      <c r="AF474">
        <v>7091</v>
      </c>
      <c r="AG474" t="s">
        <v>916</v>
      </c>
      <c r="AH474" t="s">
        <v>65</v>
      </c>
      <c r="AI474" t="s">
        <v>66</v>
      </c>
      <c r="AJ474" t="s">
        <v>66</v>
      </c>
      <c r="AK474" t="s">
        <v>66</v>
      </c>
      <c r="AL474" t="s">
        <v>66</v>
      </c>
      <c r="AM474" s="2" t="s">
        <v>73</v>
      </c>
      <c r="AN474" t="s">
        <v>73</v>
      </c>
      <c r="AO474" t="s">
        <v>73</v>
      </c>
      <c r="AP474" t="s">
        <v>972</v>
      </c>
      <c r="AQ474" t="s">
        <v>973</v>
      </c>
      <c r="AR474" t="s">
        <v>974</v>
      </c>
      <c r="AS474" t="s">
        <v>975</v>
      </c>
      <c r="AT474" s="1">
        <v>44424</v>
      </c>
      <c r="AU474" s="1">
        <v>44438</v>
      </c>
    </row>
    <row r="475" spans="1:47" x14ac:dyDescent="0.3">
      <c r="A475" t="s">
        <v>246</v>
      </c>
      <c r="B475" t="s">
        <v>182</v>
      </c>
      <c r="C475" t="s">
        <v>183</v>
      </c>
      <c r="D475">
        <v>636</v>
      </c>
      <c r="E475" t="s">
        <v>910</v>
      </c>
      <c r="F475" t="s">
        <v>911</v>
      </c>
      <c r="G475" t="s">
        <v>912</v>
      </c>
      <c r="H475" t="s">
        <v>968</v>
      </c>
      <c r="I475" t="s">
        <v>54</v>
      </c>
      <c r="J475" t="s">
        <v>969</v>
      </c>
      <c r="K475" t="s">
        <v>56</v>
      </c>
      <c r="L475">
        <v>0</v>
      </c>
      <c r="M475" t="s">
        <v>73</v>
      </c>
      <c r="N475">
        <v>0</v>
      </c>
      <c r="O475" t="s">
        <v>58</v>
      </c>
      <c r="P475" t="s">
        <v>59</v>
      </c>
      <c r="Q475" t="s">
        <v>970</v>
      </c>
      <c r="R475" t="s">
        <v>969</v>
      </c>
      <c r="S475" s="1">
        <v>44408</v>
      </c>
      <c r="T475" s="1">
        <v>44414</v>
      </c>
      <c r="U475">
        <v>37501</v>
      </c>
      <c r="V475" t="s">
        <v>61</v>
      </c>
      <c r="W475" t="s">
        <v>971</v>
      </c>
      <c r="X475" s="1">
        <v>44419</v>
      </c>
      <c r="Y475" t="s">
        <v>63</v>
      </c>
      <c r="Z475">
        <v>175.63</v>
      </c>
      <c r="AA475">
        <v>16</v>
      </c>
      <c r="AB475">
        <v>5.96</v>
      </c>
      <c r="AC475">
        <v>2.41</v>
      </c>
      <c r="AD475">
        <v>184</v>
      </c>
      <c r="AE475">
        <v>5356.23</v>
      </c>
      <c r="AF475">
        <v>7091</v>
      </c>
      <c r="AG475" t="s">
        <v>916</v>
      </c>
      <c r="AH475" t="s">
        <v>65</v>
      </c>
      <c r="AI475" t="s">
        <v>65</v>
      </c>
      <c r="AJ475" t="s">
        <v>66</v>
      </c>
      <c r="AK475" t="s">
        <v>66</v>
      </c>
      <c r="AL475" t="s">
        <v>66</v>
      </c>
      <c r="AM475" s="2" t="str">
        <f>HYPERLINK("https://transparencia.cidesi.mx/comprobantes/2021/CQ2100634 /C15FACTURA_1628736707909_340626887.pdf")</f>
        <v>https://transparencia.cidesi.mx/comprobantes/2021/CQ2100634 /C15FACTURA_1628736707909_340626887.pdf</v>
      </c>
      <c r="AN475" t="str">
        <f>HYPERLINK("https://transparencia.cidesi.mx/comprobantes/2021/CQ2100634 /C15FACTURA_1628736707909_340626887.pdf")</f>
        <v>https://transparencia.cidesi.mx/comprobantes/2021/CQ2100634 /C15FACTURA_1628736707909_340626887.pdf</v>
      </c>
      <c r="AO475" t="str">
        <f>HYPERLINK("https://transparencia.cidesi.mx/comprobantes/2021/CQ2100634 /C15FACTURA_1628736709259_340626887.xml")</f>
        <v>https://transparencia.cidesi.mx/comprobantes/2021/CQ2100634 /C15FACTURA_1628736709259_340626887.xml</v>
      </c>
      <c r="AP475" t="s">
        <v>972</v>
      </c>
      <c r="AQ475" t="s">
        <v>973</v>
      </c>
      <c r="AR475" t="s">
        <v>974</v>
      </c>
      <c r="AS475" t="s">
        <v>975</v>
      </c>
      <c r="AT475" s="1">
        <v>44424</v>
      </c>
      <c r="AU475" s="1">
        <v>44438</v>
      </c>
    </row>
    <row r="476" spans="1:47" x14ac:dyDescent="0.3">
      <c r="A476" t="s">
        <v>246</v>
      </c>
      <c r="B476" t="s">
        <v>182</v>
      </c>
      <c r="C476" t="s">
        <v>183</v>
      </c>
      <c r="D476">
        <v>636</v>
      </c>
      <c r="E476" t="s">
        <v>910</v>
      </c>
      <c r="F476" t="s">
        <v>911</v>
      </c>
      <c r="G476" t="s">
        <v>912</v>
      </c>
      <c r="H476" t="s">
        <v>968</v>
      </c>
      <c r="I476" t="s">
        <v>54</v>
      </c>
      <c r="J476" t="s">
        <v>969</v>
      </c>
      <c r="K476" t="s">
        <v>56</v>
      </c>
      <c r="L476">
        <v>0</v>
      </c>
      <c r="M476" t="s">
        <v>73</v>
      </c>
      <c r="N476">
        <v>0</v>
      </c>
      <c r="O476" t="s">
        <v>58</v>
      </c>
      <c r="P476" t="s">
        <v>59</v>
      </c>
      <c r="Q476" t="s">
        <v>970</v>
      </c>
      <c r="R476" t="s">
        <v>969</v>
      </c>
      <c r="S476" s="1">
        <v>44408</v>
      </c>
      <c r="T476" s="1">
        <v>44414</v>
      </c>
      <c r="U476">
        <v>37501</v>
      </c>
      <c r="V476" t="s">
        <v>94</v>
      </c>
      <c r="W476" t="s">
        <v>971</v>
      </c>
      <c r="X476" s="1">
        <v>44419</v>
      </c>
      <c r="Y476" t="s">
        <v>63</v>
      </c>
      <c r="Z476">
        <v>106.9</v>
      </c>
      <c r="AA476">
        <v>16</v>
      </c>
      <c r="AB476">
        <v>17.100000000000001</v>
      </c>
      <c r="AC476">
        <v>0</v>
      </c>
      <c r="AD476">
        <v>124</v>
      </c>
      <c r="AE476">
        <v>5356.23</v>
      </c>
      <c r="AF476">
        <v>7091</v>
      </c>
      <c r="AG476" t="s">
        <v>976</v>
      </c>
      <c r="AH476" t="s">
        <v>66</v>
      </c>
      <c r="AI476" t="s">
        <v>65</v>
      </c>
      <c r="AJ476" t="s">
        <v>66</v>
      </c>
      <c r="AK476" t="s">
        <v>66</v>
      </c>
      <c r="AL476" t="s">
        <v>66</v>
      </c>
      <c r="AM476" s="2" t="str">
        <f>HYPERLINK("https://transparencia.cidesi.mx/comprobantes/2021/CQ2100634 /C16200015300317.pdf")</f>
        <v>https://transparencia.cidesi.mx/comprobantes/2021/CQ2100634 /C16200015300317.pdf</v>
      </c>
      <c r="AN476" t="str">
        <f>HYPERLINK("https://transparencia.cidesi.mx/comprobantes/2021/CQ2100634 /C16200015300317.pdf")</f>
        <v>https://transparencia.cidesi.mx/comprobantes/2021/CQ2100634 /C16200015300317.pdf</v>
      </c>
      <c r="AO476" t="str">
        <f>HYPERLINK("https://transparencia.cidesi.mx/comprobantes/2021/CQ2100634 /C16200015300317.xml")</f>
        <v>https://transparencia.cidesi.mx/comprobantes/2021/CQ2100634 /C16200015300317.xml</v>
      </c>
      <c r="AP476" t="s">
        <v>972</v>
      </c>
      <c r="AQ476" t="s">
        <v>973</v>
      </c>
      <c r="AR476" t="s">
        <v>974</v>
      </c>
      <c r="AS476" t="s">
        <v>975</v>
      </c>
      <c r="AT476" s="1">
        <v>44424</v>
      </c>
      <c r="AU476" s="1">
        <v>44438</v>
      </c>
    </row>
    <row r="477" spans="1:47" x14ac:dyDescent="0.3">
      <c r="A477" t="s">
        <v>246</v>
      </c>
      <c r="B477" t="s">
        <v>182</v>
      </c>
      <c r="C477" t="s">
        <v>183</v>
      </c>
      <c r="D477">
        <v>636</v>
      </c>
      <c r="E477" t="s">
        <v>910</v>
      </c>
      <c r="F477" t="s">
        <v>911</v>
      </c>
      <c r="G477" t="s">
        <v>912</v>
      </c>
      <c r="H477" t="s">
        <v>968</v>
      </c>
      <c r="I477" t="s">
        <v>54</v>
      </c>
      <c r="J477" t="s">
        <v>969</v>
      </c>
      <c r="K477" t="s">
        <v>56</v>
      </c>
      <c r="L477">
        <v>0</v>
      </c>
      <c r="M477" t="s">
        <v>73</v>
      </c>
      <c r="N477">
        <v>0</v>
      </c>
      <c r="O477" t="s">
        <v>58</v>
      </c>
      <c r="P477" t="s">
        <v>59</v>
      </c>
      <c r="Q477" t="s">
        <v>970</v>
      </c>
      <c r="R477" t="s">
        <v>969</v>
      </c>
      <c r="S477" s="1">
        <v>44408</v>
      </c>
      <c r="T477" s="1">
        <v>44414</v>
      </c>
      <c r="U477">
        <v>37501</v>
      </c>
      <c r="V477" t="s">
        <v>94</v>
      </c>
      <c r="W477" t="s">
        <v>971</v>
      </c>
      <c r="X477" s="1">
        <v>44419</v>
      </c>
      <c r="Y477" t="s">
        <v>63</v>
      </c>
      <c r="Z477">
        <v>13</v>
      </c>
      <c r="AA477">
        <v>0</v>
      </c>
      <c r="AB477">
        <v>0</v>
      </c>
      <c r="AC477">
        <v>0</v>
      </c>
      <c r="AD477">
        <v>13</v>
      </c>
      <c r="AE477">
        <v>5356.23</v>
      </c>
      <c r="AF477">
        <v>7091</v>
      </c>
      <c r="AG477" t="s">
        <v>976</v>
      </c>
      <c r="AH477" t="s">
        <v>66</v>
      </c>
      <c r="AI477" t="s">
        <v>66</v>
      </c>
      <c r="AJ477" t="s">
        <v>66</v>
      </c>
      <c r="AK477" t="s">
        <v>66</v>
      </c>
      <c r="AL477" t="s">
        <v>66</v>
      </c>
      <c r="AM477" s="2" t="s">
        <v>73</v>
      </c>
      <c r="AN477" t="s">
        <v>73</v>
      </c>
      <c r="AO477" t="s">
        <v>73</v>
      </c>
      <c r="AP477" t="s">
        <v>972</v>
      </c>
      <c r="AQ477" t="s">
        <v>973</v>
      </c>
      <c r="AR477" t="s">
        <v>974</v>
      </c>
      <c r="AS477" t="s">
        <v>975</v>
      </c>
      <c r="AT477" s="1">
        <v>44424</v>
      </c>
      <c r="AU477" s="1">
        <v>44438</v>
      </c>
    </row>
    <row r="478" spans="1:47" x14ac:dyDescent="0.3">
      <c r="A478" t="s">
        <v>246</v>
      </c>
      <c r="B478" t="s">
        <v>182</v>
      </c>
      <c r="C478" t="s">
        <v>183</v>
      </c>
      <c r="D478">
        <v>636</v>
      </c>
      <c r="E478" t="s">
        <v>910</v>
      </c>
      <c r="F478" t="s">
        <v>911</v>
      </c>
      <c r="G478" t="s">
        <v>912</v>
      </c>
      <c r="H478" t="s">
        <v>968</v>
      </c>
      <c r="I478" t="s">
        <v>54</v>
      </c>
      <c r="J478" t="s">
        <v>969</v>
      </c>
      <c r="K478" t="s">
        <v>56</v>
      </c>
      <c r="L478">
        <v>0</v>
      </c>
      <c r="M478" t="s">
        <v>73</v>
      </c>
      <c r="N478">
        <v>0</v>
      </c>
      <c r="O478" t="s">
        <v>58</v>
      </c>
      <c r="P478" t="s">
        <v>59</v>
      </c>
      <c r="Q478" t="s">
        <v>970</v>
      </c>
      <c r="R478" t="s">
        <v>969</v>
      </c>
      <c r="S478" s="1">
        <v>44408</v>
      </c>
      <c r="T478" s="1">
        <v>44414</v>
      </c>
      <c r="U478">
        <v>37501</v>
      </c>
      <c r="V478" t="s">
        <v>94</v>
      </c>
      <c r="W478" t="s">
        <v>971</v>
      </c>
      <c r="X478" s="1">
        <v>44419</v>
      </c>
      <c r="Y478" t="s">
        <v>63</v>
      </c>
      <c r="Z478">
        <v>27</v>
      </c>
      <c r="AA478">
        <v>0</v>
      </c>
      <c r="AB478">
        <v>0</v>
      </c>
      <c r="AC478">
        <v>0</v>
      </c>
      <c r="AD478">
        <v>27</v>
      </c>
      <c r="AE478">
        <v>5356.23</v>
      </c>
      <c r="AF478">
        <v>7091</v>
      </c>
      <c r="AG478" t="s">
        <v>976</v>
      </c>
      <c r="AH478" t="s">
        <v>66</v>
      </c>
      <c r="AI478" t="s">
        <v>66</v>
      </c>
      <c r="AJ478" t="s">
        <v>66</v>
      </c>
      <c r="AK478" t="s">
        <v>66</v>
      </c>
      <c r="AL478" t="s">
        <v>66</v>
      </c>
      <c r="AM478" s="2" t="s">
        <v>73</v>
      </c>
      <c r="AN478" t="s">
        <v>73</v>
      </c>
      <c r="AO478" t="s">
        <v>73</v>
      </c>
      <c r="AP478" t="s">
        <v>972</v>
      </c>
      <c r="AQ478" t="s">
        <v>973</v>
      </c>
      <c r="AR478" t="s">
        <v>974</v>
      </c>
      <c r="AS478" t="s">
        <v>975</v>
      </c>
      <c r="AT478" s="1">
        <v>44424</v>
      </c>
      <c r="AU478" s="1">
        <v>44438</v>
      </c>
    </row>
    <row r="479" spans="1:47" x14ac:dyDescent="0.3">
      <c r="A479" t="s">
        <v>246</v>
      </c>
      <c r="B479" t="s">
        <v>182</v>
      </c>
      <c r="C479" t="s">
        <v>183</v>
      </c>
      <c r="D479">
        <v>636</v>
      </c>
      <c r="E479" t="s">
        <v>910</v>
      </c>
      <c r="F479" t="s">
        <v>911</v>
      </c>
      <c r="G479" t="s">
        <v>912</v>
      </c>
      <c r="H479" t="s">
        <v>968</v>
      </c>
      <c r="I479" t="s">
        <v>54</v>
      </c>
      <c r="J479" t="s">
        <v>969</v>
      </c>
      <c r="K479" t="s">
        <v>56</v>
      </c>
      <c r="L479">
        <v>0</v>
      </c>
      <c r="M479" t="s">
        <v>73</v>
      </c>
      <c r="N479">
        <v>0</v>
      </c>
      <c r="O479" t="s">
        <v>58</v>
      </c>
      <c r="P479" t="s">
        <v>59</v>
      </c>
      <c r="Q479" t="s">
        <v>970</v>
      </c>
      <c r="R479" t="s">
        <v>969</v>
      </c>
      <c r="S479" s="1">
        <v>44408</v>
      </c>
      <c r="T479" s="1">
        <v>44414</v>
      </c>
      <c r="U479">
        <v>37501</v>
      </c>
      <c r="V479" t="s">
        <v>94</v>
      </c>
      <c r="W479" t="s">
        <v>971</v>
      </c>
      <c r="X479" s="1">
        <v>44419</v>
      </c>
      <c r="Y479" t="s">
        <v>63</v>
      </c>
      <c r="Z479">
        <v>77</v>
      </c>
      <c r="AA479">
        <v>0</v>
      </c>
      <c r="AB479">
        <v>0</v>
      </c>
      <c r="AC479">
        <v>0</v>
      </c>
      <c r="AD479">
        <v>77</v>
      </c>
      <c r="AE479">
        <v>5356.23</v>
      </c>
      <c r="AF479">
        <v>7091</v>
      </c>
      <c r="AG479" t="s">
        <v>976</v>
      </c>
      <c r="AH479" t="s">
        <v>66</v>
      </c>
      <c r="AI479" t="s">
        <v>66</v>
      </c>
      <c r="AJ479" t="s">
        <v>66</v>
      </c>
      <c r="AK479" t="s">
        <v>66</v>
      </c>
      <c r="AL479" t="s">
        <v>66</v>
      </c>
      <c r="AM479" s="2" t="s">
        <v>73</v>
      </c>
      <c r="AN479" t="s">
        <v>73</v>
      </c>
      <c r="AO479" t="s">
        <v>73</v>
      </c>
      <c r="AP479" t="s">
        <v>972</v>
      </c>
      <c r="AQ479" t="s">
        <v>973</v>
      </c>
      <c r="AR479" t="s">
        <v>974</v>
      </c>
      <c r="AS479" t="s">
        <v>975</v>
      </c>
      <c r="AT479" s="1">
        <v>44424</v>
      </c>
      <c r="AU479" s="1">
        <v>44438</v>
      </c>
    </row>
    <row r="480" spans="1:47" x14ac:dyDescent="0.3">
      <c r="A480" t="s">
        <v>246</v>
      </c>
      <c r="B480" t="s">
        <v>182</v>
      </c>
      <c r="C480" t="s">
        <v>183</v>
      </c>
      <c r="D480">
        <v>636</v>
      </c>
      <c r="E480" t="s">
        <v>910</v>
      </c>
      <c r="F480" t="s">
        <v>911</v>
      </c>
      <c r="G480" t="s">
        <v>912</v>
      </c>
      <c r="H480" t="s">
        <v>968</v>
      </c>
      <c r="I480" t="s">
        <v>54</v>
      </c>
      <c r="J480" t="s">
        <v>969</v>
      </c>
      <c r="K480" t="s">
        <v>56</v>
      </c>
      <c r="L480">
        <v>0</v>
      </c>
      <c r="M480" t="s">
        <v>73</v>
      </c>
      <c r="N480">
        <v>0</v>
      </c>
      <c r="O480" t="s">
        <v>58</v>
      </c>
      <c r="P480" t="s">
        <v>59</v>
      </c>
      <c r="Q480" t="s">
        <v>970</v>
      </c>
      <c r="R480" t="s">
        <v>969</v>
      </c>
      <c r="S480" s="1">
        <v>44408</v>
      </c>
      <c r="T480" s="1">
        <v>44414</v>
      </c>
      <c r="U480">
        <v>37501</v>
      </c>
      <c r="V480" t="s">
        <v>94</v>
      </c>
      <c r="W480" t="s">
        <v>971</v>
      </c>
      <c r="X480" s="1">
        <v>44419</v>
      </c>
      <c r="Y480" t="s">
        <v>63</v>
      </c>
      <c r="Z480">
        <v>83</v>
      </c>
      <c r="AA480">
        <v>0</v>
      </c>
      <c r="AB480">
        <v>0</v>
      </c>
      <c r="AC480">
        <v>0</v>
      </c>
      <c r="AD480">
        <v>83</v>
      </c>
      <c r="AE480">
        <v>5356.23</v>
      </c>
      <c r="AF480">
        <v>7091</v>
      </c>
      <c r="AG480" t="s">
        <v>976</v>
      </c>
      <c r="AH480" t="s">
        <v>66</v>
      </c>
      <c r="AI480" t="s">
        <v>66</v>
      </c>
      <c r="AJ480" t="s">
        <v>66</v>
      </c>
      <c r="AK480" t="s">
        <v>66</v>
      </c>
      <c r="AL480" t="s">
        <v>66</v>
      </c>
      <c r="AM480" s="2" t="s">
        <v>73</v>
      </c>
      <c r="AN480" t="s">
        <v>73</v>
      </c>
      <c r="AO480" t="s">
        <v>73</v>
      </c>
      <c r="AP480" t="s">
        <v>972</v>
      </c>
      <c r="AQ480" t="s">
        <v>973</v>
      </c>
      <c r="AR480" t="s">
        <v>974</v>
      </c>
      <c r="AS480" t="s">
        <v>975</v>
      </c>
      <c r="AT480" s="1">
        <v>44424</v>
      </c>
      <c r="AU480" s="1">
        <v>44438</v>
      </c>
    </row>
    <row r="481" spans="1:47" x14ac:dyDescent="0.3">
      <c r="A481" t="s">
        <v>246</v>
      </c>
      <c r="B481" t="s">
        <v>182</v>
      </c>
      <c r="C481" t="s">
        <v>183</v>
      </c>
      <c r="D481">
        <v>636</v>
      </c>
      <c r="E481" t="s">
        <v>910</v>
      </c>
      <c r="F481" t="s">
        <v>911</v>
      </c>
      <c r="G481" t="s">
        <v>912</v>
      </c>
      <c r="H481" t="s">
        <v>968</v>
      </c>
      <c r="I481" t="s">
        <v>54</v>
      </c>
      <c r="J481" t="s">
        <v>969</v>
      </c>
      <c r="K481" t="s">
        <v>56</v>
      </c>
      <c r="L481">
        <v>0</v>
      </c>
      <c r="M481" t="s">
        <v>73</v>
      </c>
      <c r="N481">
        <v>0</v>
      </c>
      <c r="O481" t="s">
        <v>58</v>
      </c>
      <c r="P481" t="s">
        <v>59</v>
      </c>
      <c r="Q481" t="s">
        <v>970</v>
      </c>
      <c r="R481" t="s">
        <v>969</v>
      </c>
      <c r="S481" s="1">
        <v>44408</v>
      </c>
      <c r="T481" s="1">
        <v>44414</v>
      </c>
      <c r="U481">
        <v>37501</v>
      </c>
      <c r="V481" t="s">
        <v>94</v>
      </c>
      <c r="W481" t="s">
        <v>971</v>
      </c>
      <c r="X481" s="1">
        <v>44419</v>
      </c>
      <c r="Y481" t="s">
        <v>63</v>
      </c>
      <c r="Z481">
        <v>77</v>
      </c>
      <c r="AA481">
        <v>0</v>
      </c>
      <c r="AB481">
        <v>0</v>
      </c>
      <c r="AC481">
        <v>0</v>
      </c>
      <c r="AD481">
        <v>77</v>
      </c>
      <c r="AE481">
        <v>5356.23</v>
      </c>
      <c r="AF481">
        <v>7091</v>
      </c>
      <c r="AG481" t="s">
        <v>976</v>
      </c>
      <c r="AH481" t="s">
        <v>66</v>
      </c>
      <c r="AI481" t="s">
        <v>66</v>
      </c>
      <c r="AJ481" t="s">
        <v>66</v>
      </c>
      <c r="AK481" t="s">
        <v>66</v>
      </c>
      <c r="AL481" t="s">
        <v>66</v>
      </c>
      <c r="AM481" s="2" t="s">
        <v>73</v>
      </c>
      <c r="AN481" t="s">
        <v>73</v>
      </c>
      <c r="AO481" t="s">
        <v>73</v>
      </c>
      <c r="AP481" t="s">
        <v>972</v>
      </c>
      <c r="AQ481" t="s">
        <v>973</v>
      </c>
      <c r="AR481" t="s">
        <v>974</v>
      </c>
      <c r="AS481" t="s">
        <v>975</v>
      </c>
      <c r="AT481" s="1">
        <v>44424</v>
      </c>
      <c r="AU481" s="1">
        <v>44438</v>
      </c>
    </row>
    <row r="482" spans="1:47" x14ac:dyDescent="0.3">
      <c r="A482" t="s">
        <v>246</v>
      </c>
      <c r="B482" t="s">
        <v>182</v>
      </c>
      <c r="C482" t="s">
        <v>183</v>
      </c>
      <c r="D482">
        <v>636</v>
      </c>
      <c r="E482" t="s">
        <v>910</v>
      </c>
      <c r="F482" t="s">
        <v>911</v>
      </c>
      <c r="G482" t="s">
        <v>912</v>
      </c>
      <c r="H482" t="s">
        <v>977</v>
      </c>
      <c r="I482" t="s">
        <v>54</v>
      </c>
      <c r="J482" t="s">
        <v>978</v>
      </c>
      <c r="K482" t="s">
        <v>56</v>
      </c>
      <c r="L482">
        <v>0</v>
      </c>
      <c r="M482" t="s">
        <v>73</v>
      </c>
      <c r="N482">
        <v>0</v>
      </c>
      <c r="O482" t="s">
        <v>58</v>
      </c>
      <c r="P482" t="s">
        <v>59</v>
      </c>
      <c r="Q482" t="s">
        <v>216</v>
      </c>
      <c r="R482" t="s">
        <v>978</v>
      </c>
      <c r="S482" s="1">
        <v>44428</v>
      </c>
      <c r="T482" s="1">
        <v>44429</v>
      </c>
      <c r="U482">
        <v>37501</v>
      </c>
      <c r="V482" t="s">
        <v>61</v>
      </c>
      <c r="W482" t="s">
        <v>979</v>
      </c>
      <c r="X482" s="1">
        <v>44434</v>
      </c>
      <c r="Y482" t="s">
        <v>63</v>
      </c>
      <c r="Z482">
        <v>92.25</v>
      </c>
      <c r="AA482">
        <v>16</v>
      </c>
      <c r="AB482">
        <v>14.75</v>
      </c>
      <c r="AC482">
        <v>0</v>
      </c>
      <c r="AD482">
        <v>107</v>
      </c>
      <c r="AE482">
        <v>537</v>
      </c>
      <c r="AF482">
        <v>1636</v>
      </c>
      <c r="AG482" t="s">
        <v>916</v>
      </c>
      <c r="AH482" t="s">
        <v>65</v>
      </c>
      <c r="AI482" t="s">
        <v>65</v>
      </c>
      <c r="AJ482" t="s">
        <v>66</v>
      </c>
      <c r="AK482" t="s">
        <v>66</v>
      </c>
      <c r="AL482" t="s">
        <v>66</v>
      </c>
      <c r="AM482" s="2" t="str">
        <f>HYPERLINK("https://transparencia.cidesi.mx/comprobantes/2021/CQ2100691 /C1FACTURA_1629984411775_342148909.pdf")</f>
        <v>https://transparencia.cidesi.mx/comprobantes/2021/CQ2100691 /C1FACTURA_1629984411775_342148909.pdf</v>
      </c>
      <c r="AN482" t="str">
        <f>HYPERLINK("https://transparencia.cidesi.mx/comprobantes/2021/CQ2100691 /C1FACTURA_1629984411775_342148909.pdf")</f>
        <v>https://transparencia.cidesi.mx/comprobantes/2021/CQ2100691 /C1FACTURA_1629984411775_342148909.pdf</v>
      </c>
      <c r="AO482" t="str">
        <f>HYPERLINK("https://transparencia.cidesi.mx/comprobantes/2021/CQ2100691 /C1FACTURA_1629984412665_342148909.xml")</f>
        <v>https://transparencia.cidesi.mx/comprobantes/2021/CQ2100691 /C1FACTURA_1629984412665_342148909.xml</v>
      </c>
      <c r="AP482" t="s">
        <v>980</v>
      </c>
      <c r="AQ482" t="s">
        <v>981</v>
      </c>
      <c r="AR482" t="s">
        <v>982</v>
      </c>
      <c r="AS482" t="s">
        <v>983</v>
      </c>
      <c r="AT482" s="1">
        <v>44435</v>
      </c>
      <c r="AU482" s="1">
        <v>44438</v>
      </c>
    </row>
    <row r="483" spans="1:47" x14ac:dyDescent="0.3">
      <c r="A483" t="s">
        <v>246</v>
      </c>
      <c r="B483" t="s">
        <v>182</v>
      </c>
      <c r="C483" t="s">
        <v>183</v>
      </c>
      <c r="D483">
        <v>636</v>
      </c>
      <c r="E483" t="s">
        <v>910</v>
      </c>
      <c r="F483" t="s">
        <v>911</v>
      </c>
      <c r="G483" t="s">
        <v>912</v>
      </c>
      <c r="H483" t="s">
        <v>977</v>
      </c>
      <c r="I483" t="s">
        <v>54</v>
      </c>
      <c r="J483" t="s">
        <v>978</v>
      </c>
      <c r="K483" t="s">
        <v>56</v>
      </c>
      <c r="L483">
        <v>0</v>
      </c>
      <c r="M483" t="s">
        <v>73</v>
      </c>
      <c r="N483">
        <v>0</v>
      </c>
      <c r="O483" t="s">
        <v>58</v>
      </c>
      <c r="P483" t="s">
        <v>59</v>
      </c>
      <c r="Q483" t="s">
        <v>216</v>
      </c>
      <c r="R483" t="s">
        <v>978</v>
      </c>
      <c r="S483" s="1">
        <v>44428</v>
      </c>
      <c r="T483" s="1">
        <v>44429</v>
      </c>
      <c r="U483">
        <v>37501</v>
      </c>
      <c r="V483" t="s">
        <v>61</v>
      </c>
      <c r="W483" t="s">
        <v>979</v>
      </c>
      <c r="X483" s="1">
        <v>44434</v>
      </c>
      <c r="Y483" t="s">
        <v>63</v>
      </c>
      <c r="Z483">
        <v>370.69</v>
      </c>
      <c r="AA483">
        <v>16</v>
      </c>
      <c r="AB483">
        <v>59.31</v>
      </c>
      <c r="AC483">
        <v>0</v>
      </c>
      <c r="AD483">
        <v>430</v>
      </c>
      <c r="AE483">
        <v>537</v>
      </c>
      <c r="AF483">
        <v>1636</v>
      </c>
      <c r="AG483" t="s">
        <v>916</v>
      </c>
      <c r="AH483" t="s">
        <v>65</v>
      </c>
      <c r="AI483" t="s">
        <v>65</v>
      </c>
      <c r="AJ483" t="s">
        <v>66</v>
      </c>
      <c r="AK483" t="s">
        <v>66</v>
      </c>
      <c r="AL483" t="s">
        <v>66</v>
      </c>
      <c r="AM483" s="2" t="str">
        <f>HYPERLINK("https://transparencia.cidesi.mx/comprobantes/2021/CQ2100691 /C2FacturaA-1179.pdf")</f>
        <v>https://transparencia.cidesi.mx/comprobantes/2021/CQ2100691 /C2FacturaA-1179.pdf</v>
      </c>
      <c r="AN483" t="str">
        <f>HYPERLINK("https://transparencia.cidesi.mx/comprobantes/2021/CQ2100691 /C2FacturaA-1179.pdf")</f>
        <v>https://transparencia.cidesi.mx/comprobantes/2021/CQ2100691 /C2FacturaA-1179.pdf</v>
      </c>
      <c r="AO483" t="str">
        <f>HYPERLINK("https://transparencia.cidesi.mx/comprobantes/2021/CQ2100691 /C2FacturaA-1179.xml")</f>
        <v>https://transparencia.cidesi.mx/comprobantes/2021/CQ2100691 /C2FacturaA-1179.xml</v>
      </c>
      <c r="AP483" t="s">
        <v>980</v>
      </c>
      <c r="AQ483" t="s">
        <v>981</v>
      </c>
      <c r="AR483" t="s">
        <v>982</v>
      </c>
      <c r="AS483" t="s">
        <v>983</v>
      </c>
      <c r="AT483" s="1">
        <v>44435</v>
      </c>
      <c r="AU483" s="1">
        <v>44438</v>
      </c>
    </row>
    <row r="484" spans="1:47" x14ac:dyDescent="0.3">
      <c r="A484" t="s">
        <v>246</v>
      </c>
      <c r="B484" t="s">
        <v>182</v>
      </c>
      <c r="C484" t="s">
        <v>183</v>
      </c>
      <c r="D484">
        <v>636</v>
      </c>
      <c r="E484" t="s">
        <v>910</v>
      </c>
      <c r="F484" t="s">
        <v>911</v>
      </c>
      <c r="G484" t="s">
        <v>912</v>
      </c>
      <c r="H484" t="s">
        <v>984</v>
      </c>
      <c r="I484" t="s">
        <v>54</v>
      </c>
      <c r="J484" t="s">
        <v>985</v>
      </c>
      <c r="K484" t="s">
        <v>56</v>
      </c>
      <c r="L484">
        <v>0</v>
      </c>
      <c r="M484" t="s">
        <v>73</v>
      </c>
      <c r="N484">
        <v>0</v>
      </c>
      <c r="O484" t="s">
        <v>58</v>
      </c>
      <c r="P484" t="s">
        <v>59</v>
      </c>
      <c r="Q484" t="s">
        <v>986</v>
      </c>
      <c r="R484" t="s">
        <v>985</v>
      </c>
      <c r="S484" s="1">
        <v>44437</v>
      </c>
      <c r="T484" s="1">
        <v>44443</v>
      </c>
      <c r="U484">
        <v>37501</v>
      </c>
      <c r="V484" t="s">
        <v>104</v>
      </c>
      <c r="W484" t="s">
        <v>987</v>
      </c>
      <c r="X484" s="1">
        <v>44438</v>
      </c>
      <c r="Y484" t="s">
        <v>100</v>
      </c>
      <c r="Z484">
        <v>616.23</v>
      </c>
      <c r="AA484">
        <v>16</v>
      </c>
      <c r="AB484">
        <v>98.6</v>
      </c>
      <c r="AC484">
        <v>14.17</v>
      </c>
      <c r="AD484">
        <v>729</v>
      </c>
      <c r="AE484">
        <v>9848.15</v>
      </c>
      <c r="AF484">
        <v>7091</v>
      </c>
      <c r="AG484" t="s">
        <v>966</v>
      </c>
      <c r="AH484" t="s">
        <v>65</v>
      </c>
      <c r="AI484" t="s">
        <v>65</v>
      </c>
      <c r="AJ484" t="s">
        <v>66</v>
      </c>
      <c r="AK484" t="s">
        <v>66</v>
      </c>
      <c r="AL484" t="s">
        <v>66</v>
      </c>
      <c r="AM484" s="2" t="str">
        <f>HYPERLINK("https://transparencia.cidesi.mx/comprobantes/2021/CQ2100713 /C1CID840309UG7_I_30_Aug_2021_08_30_29_933.pdf")</f>
        <v>https://transparencia.cidesi.mx/comprobantes/2021/CQ2100713 /C1CID840309UG7_I_30_Aug_2021_08_30_29_933.pdf</v>
      </c>
      <c r="AN484" t="str">
        <f>HYPERLINK("https://transparencia.cidesi.mx/comprobantes/2021/CQ2100713 /C1CID840309UG7_I_30_Aug_2021_08_30_29_933.pdf")</f>
        <v>https://transparencia.cidesi.mx/comprobantes/2021/CQ2100713 /C1CID840309UG7_I_30_Aug_2021_08_30_29_933.pdf</v>
      </c>
      <c r="AO484" t="str">
        <f>HYPERLINK("https://transparencia.cidesi.mx/comprobantes/2021/CQ2100713 /C1CID840309UG7_I_30_Aug_2021_08_30_29_933.xml")</f>
        <v>https://transparencia.cidesi.mx/comprobantes/2021/CQ2100713 /C1CID840309UG7_I_30_Aug_2021_08_30_29_933.xml</v>
      </c>
      <c r="AP484" t="s">
        <v>988</v>
      </c>
      <c r="AQ484" t="s">
        <v>989</v>
      </c>
      <c r="AR484" t="s">
        <v>990</v>
      </c>
      <c r="AS484" t="s">
        <v>991</v>
      </c>
      <c r="AT484" s="1">
        <v>44447</v>
      </c>
      <c r="AU484" t="s">
        <v>73</v>
      </c>
    </row>
    <row r="485" spans="1:47" x14ac:dyDescent="0.3">
      <c r="A485" t="s">
        <v>246</v>
      </c>
      <c r="B485" t="s">
        <v>182</v>
      </c>
      <c r="C485" t="s">
        <v>183</v>
      </c>
      <c r="D485">
        <v>636</v>
      </c>
      <c r="E485" t="s">
        <v>910</v>
      </c>
      <c r="F485" t="s">
        <v>911</v>
      </c>
      <c r="G485" t="s">
        <v>912</v>
      </c>
      <c r="H485" t="s">
        <v>984</v>
      </c>
      <c r="I485" t="s">
        <v>54</v>
      </c>
      <c r="J485" t="s">
        <v>985</v>
      </c>
      <c r="K485" t="s">
        <v>56</v>
      </c>
      <c r="L485">
        <v>0</v>
      </c>
      <c r="M485" t="s">
        <v>73</v>
      </c>
      <c r="N485">
        <v>0</v>
      </c>
      <c r="O485" t="s">
        <v>58</v>
      </c>
      <c r="P485" t="s">
        <v>59</v>
      </c>
      <c r="Q485" t="s">
        <v>986</v>
      </c>
      <c r="R485" t="s">
        <v>985</v>
      </c>
      <c r="S485" s="1">
        <v>44437</v>
      </c>
      <c r="T485" s="1">
        <v>44443</v>
      </c>
      <c r="U485">
        <v>37501</v>
      </c>
      <c r="V485" t="s">
        <v>61</v>
      </c>
      <c r="W485" t="s">
        <v>987</v>
      </c>
      <c r="X485" s="1">
        <v>44438</v>
      </c>
      <c r="Y485" t="s">
        <v>100</v>
      </c>
      <c r="Z485">
        <v>518.97</v>
      </c>
      <c r="AA485">
        <v>16</v>
      </c>
      <c r="AB485">
        <v>83.03</v>
      </c>
      <c r="AC485">
        <v>0</v>
      </c>
      <c r="AD485">
        <v>602</v>
      </c>
      <c r="AE485">
        <v>9848.15</v>
      </c>
      <c r="AF485">
        <v>7091</v>
      </c>
      <c r="AG485" t="s">
        <v>916</v>
      </c>
      <c r="AH485" t="s">
        <v>65</v>
      </c>
      <c r="AI485" t="s">
        <v>65</v>
      </c>
      <c r="AJ485" t="s">
        <v>66</v>
      </c>
      <c r="AK485" t="s">
        <v>66</v>
      </c>
      <c r="AL485" t="s">
        <v>66</v>
      </c>
      <c r="AM485" s="2" t="str">
        <f>HYPERLINK("https://transparencia.cidesi.mx/comprobantes/2021/CQ2100713 /C269943748.pdf")</f>
        <v>https://transparencia.cidesi.mx/comprobantes/2021/CQ2100713 /C269943748.pdf</v>
      </c>
      <c r="AN485" t="str">
        <f>HYPERLINK("https://transparencia.cidesi.mx/comprobantes/2021/CQ2100713 /C269943748.pdf")</f>
        <v>https://transparencia.cidesi.mx/comprobantes/2021/CQ2100713 /C269943748.pdf</v>
      </c>
      <c r="AO485" t="str">
        <f>HYPERLINK("https://transparencia.cidesi.mx/comprobantes/2021/CQ2100713 /C269943748.xml")</f>
        <v>https://transparencia.cidesi.mx/comprobantes/2021/CQ2100713 /C269943748.xml</v>
      </c>
      <c r="AP485" t="s">
        <v>988</v>
      </c>
      <c r="AQ485" t="s">
        <v>989</v>
      </c>
      <c r="AR485" t="s">
        <v>990</v>
      </c>
      <c r="AS485" t="s">
        <v>991</v>
      </c>
      <c r="AT485" s="1">
        <v>44447</v>
      </c>
      <c r="AU485" t="s">
        <v>73</v>
      </c>
    </row>
    <row r="486" spans="1:47" x14ac:dyDescent="0.3">
      <c r="A486" t="s">
        <v>246</v>
      </c>
      <c r="B486" t="s">
        <v>182</v>
      </c>
      <c r="C486" t="s">
        <v>183</v>
      </c>
      <c r="D486">
        <v>636</v>
      </c>
      <c r="E486" t="s">
        <v>910</v>
      </c>
      <c r="F486" t="s">
        <v>911</v>
      </c>
      <c r="G486" t="s">
        <v>912</v>
      </c>
      <c r="H486" t="s">
        <v>984</v>
      </c>
      <c r="I486" t="s">
        <v>54</v>
      </c>
      <c r="J486" t="s">
        <v>985</v>
      </c>
      <c r="K486" t="s">
        <v>56</v>
      </c>
      <c r="L486">
        <v>0</v>
      </c>
      <c r="M486" t="s">
        <v>73</v>
      </c>
      <c r="N486">
        <v>0</v>
      </c>
      <c r="O486" t="s">
        <v>58</v>
      </c>
      <c r="P486" t="s">
        <v>59</v>
      </c>
      <c r="Q486" t="s">
        <v>986</v>
      </c>
      <c r="R486" t="s">
        <v>985</v>
      </c>
      <c r="S486" s="1">
        <v>44437</v>
      </c>
      <c r="T486" s="1">
        <v>44443</v>
      </c>
      <c r="U486">
        <v>37501</v>
      </c>
      <c r="V486" t="s">
        <v>61</v>
      </c>
      <c r="W486" t="s">
        <v>987</v>
      </c>
      <c r="X486" s="1">
        <v>44438</v>
      </c>
      <c r="Y486" t="s">
        <v>100</v>
      </c>
      <c r="Z486">
        <v>100</v>
      </c>
      <c r="AA486">
        <v>16</v>
      </c>
      <c r="AB486">
        <v>16</v>
      </c>
      <c r="AC486">
        <v>0</v>
      </c>
      <c r="AD486">
        <v>116</v>
      </c>
      <c r="AE486">
        <v>9848.15</v>
      </c>
      <c r="AF486">
        <v>7091</v>
      </c>
      <c r="AG486" t="s">
        <v>916</v>
      </c>
      <c r="AH486" t="s">
        <v>65</v>
      </c>
      <c r="AI486" t="s">
        <v>65</v>
      </c>
      <c r="AJ486" t="s">
        <v>66</v>
      </c>
      <c r="AK486" t="s">
        <v>66</v>
      </c>
      <c r="AL486" t="s">
        <v>66</v>
      </c>
      <c r="AM486" s="2" t="str">
        <f>HYPERLINK("https://transparencia.cidesi.mx/comprobantes/2021/CQ2100713 /C369905482.pdf")</f>
        <v>https://transparencia.cidesi.mx/comprobantes/2021/CQ2100713 /C369905482.pdf</v>
      </c>
      <c r="AN486" t="str">
        <f>HYPERLINK("https://transparencia.cidesi.mx/comprobantes/2021/CQ2100713 /C369905482.pdf")</f>
        <v>https://transparencia.cidesi.mx/comprobantes/2021/CQ2100713 /C369905482.pdf</v>
      </c>
      <c r="AO486" t="str">
        <f>HYPERLINK("https://transparencia.cidesi.mx/comprobantes/2021/CQ2100713 /C369905482.xml")</f>
        <v>https://transparencia.cidesi.mx/comprobantes/2021/CQ2100713 /C369905482.xml</v>
      </c>
      <c r="AP486" t="s">
        <v>988</v>
      </c>
      <c r="AQ486" t="s">
        <v>989</v>
      </c>
      <c r="AR486" t="s">
        <v>990</v>
      </c>
      <c r="AS486" t="s">
        <v>991</v>
      </c>
      <c r="AT486" s="1">
        <v>44447</v>
      </c>
      <c r="AU486" t="s">
        <v>73</v>
      </c>
    </row>
    <row r="487" spans="1:47" x14ac:dyDescent="0.3">
      <c r="A487" t="s">
        <v>246</v>
      </c>
      <c r="B487" t="s">
        <v>182</v>
      </c>
      <c r="C487" t="s">
        <v>183</v>
      </c>
      <c r="D487">
        <v>636</v>
      </c>
      <c r="E487" t="s">
        <v>910</v>
      </c>
      <c r="F487" t="s">
        <v>911</v>
      </c>
      <c r="G487" t="s">
        <v>912</v>
      </c>
      <c r="H487" t="s">
        <v>984</v>
      </c>
      <c r="I487" t="s">
        <v>54</v>
      </c>
      <c r="J487" t="s">
        <v>985</v>
      </c>
      <c r="K487" t="s">
        <v>56</v>
      </c>
      <c r="L487">
        <v>0</v>
      </c>
      <c r="M487" t="s">
        <v>73</v>
      </c>
      <c r="N487">
        <v>0</v>
      </c>
      <c r="O487" t="s">
        <v>58</v>
      </c>
      <c r="P487" t="s">
        <v>59</v>
      </c>
      <c r="Q487" t="s">
        <v>986</v>
      </c>
      <c r="R487" t="s">
        <v>985</v>
      </c>
      <c r="S487" s="1">
        <v>44437</v>
      </c>
      <c r="T487" s="1">
        <v>44443</v>
      </c>
      <c r="U487">
        <v>37501</v>
      </c>
      <c r="V487" t="s">
        <v>61</v>
      </c>
      <c r="W487" t="s">
        <v>987</v>
      </c>
      <c r="X487" s="1">
        <v>44438</v>
      </c>
      <c r="Y487" t="s">
        <v>100</v>
      </c>
      <c r="Z487">
        <v>410.34</v>
      </c>
      <c r="AA487">
        <v>16</v>
      </c>
      <c r="AB487">
        <v>65.66</v>
      </c>
      <c r="AC487">
        <v>48</v>
      </c>
      <c r="AD487">
        <v>524</v>
      </c>
      <c r="AE487">
        <v>9848.15</v>
      </c>
      <c r="AF487">
        <v>7091</v>
      </c>
      <c r="AG487" t="s">
        <v>916</v>
      </c>
      <c r="AH487" t="s">
        <v>65</v>
      </c>
      <c r="AI487" t="s">
        <v>65</v>
      </c>
      <c r="AJ487" t="s">
        <v>66</v>
      </c>
      <c r="AK487" t="s">
        <v>66</v>
      </c>
      <c r="AL487" t="s">
        <v>66</v>
      </c>
      <c r="AM487" s="2" t="str">
        <f>HYPERLINK("https://transparencia.cidesi.mx/comprobantes/2021/CQ2100713 /C4acb6c331-c03d-412a-9ad3-fbdf25ea9286.pdf")</f>
        <v>https://transparencia.cidesi.mx/comprobantes/2021/CQ2100713 /C4acb6c331-c03d-412a-9ad3-fbdf25ea9286.pdf</v>
      </c>
      <c r="AN487" t="str">
        <f>HYPERLINK("https://transparencia.cidesi.mx/comprobantes/2021/CQ2100713 /C4acb6c331-c03d-412a-9ad3-fbdf25ea9286.pdf")</f>
        <v>https://transparencia.cidesi.mx/comprobantes/2021/CQ2100713 /C4acb6c331-c03d-412a-9ad3-fbdf25ea9286.pdf</v>
      </c>
      <c r="AO487" t="str">
        <f>HYPERLINK("https://transparencia.cidesi.mx/comprobantes/2021/CQ2100713 /C4acb6c331-c03d-412a-9ad3-fbdf25ea9286.xml")</f>
        <v>https://transparencia.cidesi.mx/comprobantes/2021/CQ2100713 /C4acb6c331-c03d-412a-9ad3-fbdf25ea9286.xml</v>
      </c>
      <c r="AP487" t="s">
        <v>988</v>
      </c>
      <c r="AQ487" t="s">
        <v>989</v>
      </c>
      <c r="AR487" t="s">
        <v>990</v>
      </c>
      <c r="AS487" t="s">
        <v>991</v>
      </c>
      <c r="AT487" s="1">
        <v>44447</v>
      </c>
      <c r="AU487" t="s">
        <v>73</v>
      </c>
    </row>
    <row r="488" spans="1:47" x14ac:dyDescent="0.3">
      <c r="A488" t="s">
        <v>246</v>
      </c>
      <c r="B488" t="s">
        <v>182</v>
      </c>
      <c r="C488" t="s">
        <v>183</v>
      </c>
      <c r="D488">
        <v>636</v>
      </c>
      <c r="E488" t="s">
        <v>910</v>
      </c>
      <c r="F488" t="s">
        <v>911</v>
      </c>
      <c r="G488" t="s">
        <v>912</v>
      </c>
      <c r="H488" t="s">
        <v>984</v>
      </c>
      <c r="I488" t="s">
        <v>54</v>
      </c>
      <c r="J488" t="s">
        <v>985</v>
      </c>
      <c r="K488" t="s">
        <v>56</v>
      </c>
      <c r="L488">
        <v>0</v>
      </c>
      <c r="M488" t="s">
        <v>73</v>
      </c>
      <c r="N488">
        <v>0</v>
      </c>
      <c r="O488" t="s">
        <v>58</v>
      </c>
      <c r="P488" t="s">
        <v>59</v>
      </c>
      <c r="Q488" t="s">
        <v>986</v>
      </c>
      <c r="R488" t="s">
        <v>985</v>
      </c>
      <c r="S488" s="1">
        <v>44437</v>
      </c>
      <c r="T488" s="1">
        <v>44443</v>
      </c>
      <c r="U488">
        <v>37501</v>
      </c>
      <c r="V488" t="s">
        <v>61</v>
      </c>
      <c r="W488" t="s">
        <v>987</v>
      </c>
      <c r="X488" s="1">
        <v>44438</v>
      </c>
      <c r="Y488" t="s">
        <v>100</v>
      </c>
      <c r="Z488">
        <v>256.89999999999998</v>
      </c>
      <c r="AA488">
        <v>16</v>
      </c>
      <c r="AB488">
        <v>41.1</v>
      </c>
      <c r="AC488">
        <v>29.8</v>
      </c>
      <c r="AD488">
        <v>327.8</v>
      </c>
      <c r="AE488">
        <v>9848.15</v>
      </c>
      <c r="AF488">
        <v>7091</v>
      </c>
      <c r="AG488" t="s">
        <v>916</v>
      </c>
      <c r="AH488" t="s">
        <v>65</v>
      </c>
      <c r="AI488" t="s">
        <v>65</v>
      </c>
      <c r="AJ488" t="s">
        <v>66</v>
      </c>
      <c r="AK488" t="s">
        <v>66</v>
      </c>
      <c r="AL488" t="s">
        <v>66</v>
      </c>
      <c r="AM488" s="2" t="str">
        <f>HYPERLINK("https://transparencia.cidesi.mx/comprobantes/2021/CQ2100713 /C5CID840309UG7_I_30_Ago_2021_09_25_18_917.pdf")</f>
        <v>https://transparencia.cidesi.mx/comprobantes/2021/CQ2100713 /C5CID840309UG7_I_30_Ago_2021_09_25_18_917.pdf</v>
      </c>
      <c r="AN488" t="str">
        <f>HYPERLINK("https://transparencia.cidesi.mx/comprobantes/2021/CQ2100713 /C5CID840309UG7_I_30_Ago_2021_09_25_18_917.pdf")</f>
        <v>https://transparencia.cidesi.mx/comprobantes/2021/CQ2100713 /C5CID840309UG7_I_30_Ago_2021_09_25_18_917.pdf</v>
      </c>
      <c r="AO488" t="str">
        <f>HYPERLINK("https://transparencia.cidesi.mx/comprobantes/2021/CQ2100713 /C5CID840309UG7_I_30_Ago_2021_09_25_18_917.xml")</f>
        <v>https://transparencia.cidesi.mx/comprobantes/2021/CQ2100713 /C5CID840309UG7_I_30_Ago_2021_09_25_18_917.xml</v>
      </c>
      <c r="AP488" t="s">
        <v>988</v>
      </c>
      <c r="AQ488" t="s">
        <v>989</v>
      </c>
      <c r="AR488" t="s">
        <v>990</v>
      </c>
      <c r="AS488" t="s">
        <v>991</v>
      </c>
      <c r="AT488" s="1">
        <v>44447</v>
      </c>
      <c r="AU488" t="s">
        <v>73</v>
      </c>
    </row>
    <row r="489" spans="1:47" x14ac:dyDescent="0.3">
      <c r="A489" t="s">
        <v>246</v>
      </c>
      <c r="B489" t="s">
        <v>182</v>
      </c>
      <c r="C489" t="s">
        <v>183</v>
      </c>
      <c r="D489">
        <v>636</v>
      </c>
      <c r="E489" t="s">
        <v>910</v>
      </c>
      <c r="F489" t="s">
        <v>911</v>
      </c>
      <c r="G489" t="s">
        <v>912</v>
      </c>
      <c r="H489" t="s">
        <v>984</v>
      </c>
      <c r="I489" t="s">
        <v>54</v>
      </c>
      <c r="J489" t="s">
        <v>985</v>
      </c>
      <c r="K489" t="s">
        <v>56</v>
      </c>
      <c r="L489">
        <v>0</v>
      </c>
      <c r="M489" t="s">
        <v>73</v>
      </c>
      <c r="N489">
        <v>0</v>
      </c>
      <c r="O489" t="s">
        <v>58</v>
      </c>
      <c r="P489" t="s">
        <v>59</v>
      </c>
      <c r="Q489" t="s">
        <v>986</v>
      </c>
      <c r="R489" t="s">
        <v>985</v>
      </c>
      <c r="S489" s="1">
        <v>44437</v>
      </c>
      <c r="T489" s="1">
        <v>44443</v>
      </c>
      <c r="U489">
        <v>37501</v>
      </c>
      <c r="V489" t="s">
        <v>61</v>
      </c>
      <c r="W489" t="s">
        <v>987</v>
      </c>
      <c r="X489" s="1">
        <v>44438</v>
      </c>
      <c r="Y489" t="s">
        <v>100</v>
      </c>
      <c r="Z489">
        <v>56.86</v>
      </c>
      <c r="AA489">
        <v>16</v>
      </c>
      <c r="AB489">
        <v>4.1399999999999997</v>
      </c>
      <c r="AC489">
        <v>0</v>
      </c>
      <c r="AD489">
        <v>61</v>
      </c>
      <c r="AE489">
        <v>9848.15</v>
      </c>
      <c r="AF489">
        <v>7091</v>
      </c>
      <c r="AG489" t="s">
        <v>916</v>
      </c>
      <c r="AH489" t="s">
        <v>65</v>
      </c>
      <c r="AI489" t="s">
        <v>65</v>
      </c>
      <c r="AJ489" t="s">
        <v>66</v>
      </c>
      <c r="AK489" t="s">
        <v>66</v>
      </c>
      <c r="AL489" t="s">
        <v>66</v>
      </c>
      <c r="AM489" s="2" t="str">
        <f>HYPERLINK("https://transparencia.cidesi.mx/comprobantes/2021/CQ2100713 /C7ANI33464CID840309UG7.pdf")</f>
        <v>https://transparencia.cidesi.mx/comprobantes/2021/CQ2100713 /C7ANI33464CID840309UG7.pdf</v>
      </c>
      <c r="AN489" t="str">
        <f>HYPERLINK("https://transparencia.cidesi.mx/comprobantes/2021/CQ2100713 /C7ANI33464CID840309UG7.pdf")</f>
        <v>https://transparencia.cidesi.mx/comprobantes/2021/CQ2100713 /C7ANI33464CID840309UG7.pdf</v>
      </c>
      <c r="AO489" t="str">
        <f>HYPERLINK("https://transparencia.cidesi.mx/comprobantes/2021/CQ2100713 /C7ANI33464CID840309UG7.xml")</f>
        <v>https://transparencia.cidesi.mx/comprobantes/2021/CQ2100713 /C7ANI33464CID840309UG7.xml</v>
      </c>
      <c r="AP489" t="s">
        <v>988</v>
      </c>
      <c r="AQ489" t="s">
        <v>989</v>
      </c>
      <c r="AR489" t="s">
        <v>990</v>
      </c>
      <c r="AS489" t="s">
        <v>991</v>
      </c>
      <c r="AT489" s="1">
        <v>44447</v>
      </c>
      <c r="AU489" t="s">
        <v>73</v>
      </c>
    </row>
    <row r="490" spans="1:47" x14ac:dyDescent="0.3">
      <c r="A490" t="s">
        <v>246</v>
      </c>
      <c r="B490" t="s">
        <v>182</v>
      </c>
      <c r="C490" t="s">
        <v>183</v>
      </c>
      <c r="D490">
        <v>636</v>
      </c>
      <c r="E490" t="s">
        <v>910</v>
      </c>
      <c r="F490" t="s">
        <v>911</v>
      </c>
      <c r="G490" t="s">
        <v>912</v>
      </c>
      <c r="H490" t="s">
        <v>984</v>
      </c>
      <c r="I490" t="s">
        <v>54</v>
      </c>
      <c r="J490" t="s">
        <v>985</v>
      </c>
      <c r="K490" t="s">
        <v>56</v>
      </c>
      <c r="L490">
        <v>0</v>
      </c>
      <c r="M490" t="s">
        <v>73</v>
      </c>
      <c r="N490">
        <v>0</v>
      </c>
      <c r="O490" t="s">
        <v>58</v>
      </c>
      <c r="P490" t="s">
        <v>59</v>
      </c>
      <c r="Q490" t="s">
        <v>986</v>
      </c>
      <c r="R490" t="s">
        <v>985</v>
      </c>
      <c r="S490" s="1">
        <v>44437</v>
      </c>
      <c r="T490" s="1">
        <v>44443</v>
      </c>
      <c r="U490">
        <v>37501</v>
      </c>
      <c r="V490" t="s">
        <v>61</v>
      </c>
      <c r="W490" t="s">
        <v>987</v>
      </c>
      <c r="X490" s="1">
        <v>44438</v>
      </c>
      <c r="Y490" t="s">
        <v>100</v>
      </c>
      <c r="Z490">
        <v>422.41</v>
      </c>
      <c r="AA490">
        <v>16</v>
      </c>
      <c r="AB490">
        <v>67.59</v>
      </c>
      <c r="AC490">
        <v>49</v>
      </c>
      <c r="AD490">
        <v>539</v>
      </c>
      <c r="AE490">
        <v>9848.15</v>
      </c>
      <c r="AF490">
        <v>7091</v>
      </c>
      <c r="AG490" t="s">
        <v>916</v>
      </c>
      <c r="AH490" t="s">
        <v>65</v>
      </c>
      <c r="AI490" t="s">
        <v>65</v>
      </c>
      <c r="AJ490" t="s">
        <v>66</v>
      </c>
      <c r="AK490" t="s">
        <v>66</v>
      </c>
      <c r="AL490" t="s">
        <v>66</v>
      </c>
      <c r="AM490" s="2" t="str">
        <f>HYPERLINK("https://transparencia.cidesi.mx/comprobantes/2021/CQ2100713 /C8FACTURAA14832.pdf")</f>
        <v>https://transparencia.cidesi.mx/comprobantes/2021/CQ2100713 /C8FACTURAA14832.pdf</v>
      </c>
      <c r="AN490" t="str">
        <f>HYPERLINK("https://transparencia.cidesi.mx/comprobantes/2021/CQ2100713 /C8FACTURAA14832.pdf")</f>
        <v>https://transparencia.cidesi.mx/comprobantes/2021/CQ2100713 /C8FACTURAA14832.pdf</v>
      </c>
      <c r="AO490" t="str">
        <f>HYPERLINK("https://transparencia.cidesi.mx/comprobantes/2021/CQ2100713 /C8FACTURAA14832.xml")</f>
        <v>https://transparencia.cidesi.mx/comprobantes/2021/CQ2100713 /C8FACTURAA14832.xml</v>
      </c>
      <c r="AP490" t="s">
        <v>988</v>
      </c>
      <c r="AQ490" t="s">
        <v>989</v>
      </c>
      <c r="AR490" t="s">
        <v>990</v>
      </c>
      <c r="AS490" t="s">
        <v>991</v>
      </c>
      <c r="AT490" s="1">
        <v>44447</v>
      </c>
      <c r="AU490" t="s">
        <v>73</v>
      </c>
    </row>
    <row r="491" spans="1:47" x14ac:dyDescent="0.3">
      <c r="A491" t="s">
        <v>246</v>
      </c>
      <c r="B491" t="s">
        <v>182</v>
      </c>
      <c r="C491" t="s">
        <v>183</v>
      </c>
      <c r="D491">
        <v>636</v>
      </c>
      <c r="E491" t="s">
        <v>910</v>
      </c>
      <c r="F491" t="s">
        <v>911</v>
      </c>
      <c r="G491" t="s">
        <v>912</v>
      </c>
      <c r="H491" t="s">
        <v>984</v>
      </c>
      <c r="I491" t="s">
        <v>54</v>
      </c>
      <c r="J491" t="s">
        <v>985</v>
      </c>
      <c r="K491" t="s">
        <v>56</v>
      </c>
      <c r="L491">
        <v>0</v>
      </c>
      <c r="M491" t="s">
        <v>73</v>
      </c>
      <c r="N491">
        <v>0</v>
      </c>
      <c r="O491" t="s">
        <v>58</v>
      </c>
      <c r="P491" t="s">
        <v>59</v>
      </c>
      <c r="Q491" t="s">
        <v>986</v>
      </c>
      <c r="R491" t="s">
        <v>985</v>
      </c>
      <c r="S491" s="1">
        <v>44437</v>
      </c>
      <c r="T491" s="1">
        <v>44443</v>
      </c>
      <c r="U491">
        <v>37501</v>
      </c>
      <c r="V491" t="s">
        <v>104</v>
      </c>
      <c r="W491" t="s">
        <v>987</v>
      </c>
      <c r="X491" s="1">
        <v>44438</v>
      </c>
      <c r="Y491" t="s">
        <v>100</v>
      </c>
      <c r="Z491">
        <v>689</v>
      </c>
      <c r="AA491">
        <v>16</v>
      </c>
      <c r="AB491">
        <v>110.24</v>
      </c>
      <c r="AC491">
        <v>13.78</v>
      </c>
      <c r="AD491">
        <v>813.02</v>
      </c>
      <c r="AE491">
        <v>9848.15</v>
      </c>
      <c r="AF491">
        <v>7091</v>
      </c>
      <c r="AG491" t="s">
        <v>966</v>
      </c>
      <c r="AH491" t="s">
        <v>65</v>
      </c>
      <c r="AI491" t="s">
        <v>65</v>
      </c>
      <c r="AJ491" t="s">
        <v>66</v>
      </c>
      <c r="AK491" t="s">
        <v>66</v>
      </c>
      <c r="AL491" t="s">
        <v>66</v>
      </c>
      <c r="AM491" s="2" t="str">
        <f>HYPERLINK("https://transparencia.cidesi.mx/comprobantes/2021/CQ2100713 /C912365140.pdf")</f>
        <v>https://transparencia.cidesi.mx/comprobantes/2021/CQ2100713 /C912365140.pdf</v>
      </c>
      <c r="AN491" t="str">
        <f>HYPERLINK("https://transparencia.cidesi.mx/comprobantes/2021/CQ2100713 /C912365140.pdf")</f>
        <v>https://transparencia.cidesi.mx/comprobantes/2021/CQ2100713 /C912365140.pdf</v>
      </c>
      <c r="AO491" t="str">
        <f>HYPERLINK("https://transparencia.cidesi.mx/comprobantes/2021/CQ2100713 /C912365140_timbrado.xml")</f>
        <v>https://transparencia.cidesi.mx/comprobantes/2021/CQ2100713 /C912365140_timbrado.xml</v>
      </c>
      <c r="AP491" t="s">
        <v>988</v>
      </c>
      <c r="AQ491" t="s">
        <v>989</v>
      </c>
      <c r="AR491" t="s">
        <v>990</v>
      </c>
      <c r="AS491" t="s">
        <v>991</v>
      </c>
      <c r="AT491" s="1">
        <v>44447</v>
      </c>
      <c r="AU491" t="s">
        <v>73</v>
      </c>
    </row>
    <row r="492" spans="1:47" x14ac:dyDescent="0.3">
      <c r="A492" t="s">
        <v>246</v>
      </c>
      <c r="B492" t="s">
        <v>182</v>
      </c>
      <c r="C492" t="s">
        <v>183</v>
      </c>
      <c r="D492">
        <v>636</v>
      </c>
      <c r="E492" t="s">
        <v>910</v>
      </c>
      <c r="F492" t="s">
        <v>911</v>
      </c>
      <c r="G492" t="s">
        <v>912</v>
      </c>
      <c r="H492" t="s">
        <v>984</v>
      </c>
      <c r="I492" t="s">
        <v>54</v>
      </c>
      <c r="J492" t="s">
        <v>985</v>
      </c>
      <c r="K492" t="s">
        <v>56</v>
      </c>
      <c r="L492">
        <v>0</v>
      </c>
      <c r="M492" t="s">
        <v>73</v>
      </c>
      <c r="N492">
        <v>0</v>
      </c>
      <c r="O492" t="s">
        <v>58</v>
      </c>
      <c r="P492" t="s">
        <v>59</v>
      </c>
      <c r="Q492" t="s">
        <v>986</v>
      </c>
      <c r="R492" t="s">
        <v>985</v>
      </c>
      <c r="S492" s="1">
        <v>44437</v>
      </c>
      <c r="T492" s="1">
        <v>44443</v>
      </c>
      <c r="U492">
        <v>37501</v>
      </c>
      <c r="V492" t="s">
        <v>104</v>
      </c>
      <c r="W492" t="s">
        <v>987</v>
      </c>
      <c r="X492" s="1">
        <v>44438</v>
      </c>
      <c r="Y492" t="s">
        <v>100</v>
      </c>
      <c r="Z492">
        <v>652.54</v>
      </c>
      <c r="AA492">
        <v>16</v>
      </c>
      <c r="AB492">
        <v>104.41</v>
      </c>
      <c r="AC492">
        <v>13.05</v>
      </c>
      <c r="AD492">
        <v>770</v>
      </c>
      <c r="AE492">
        <v>9848.15</v>
      </c>
      <c r="AF492">
        <v>7091</v>
      </c>
      <c r="AG492" t="s">
        <v>966</v>
      </c>
      <c r="AH492" t="s">
        <v>65</v>
      </c>
      <c r="AI492" t="s">
        <v>65</v>
      </c>
      <c r="AJ492" t="s">
        <v>66</v>
      </c>
      <c r="AK492" t="s">
        <v>66</v>
      </c>
      <c r="AL492" t="s">
        <v>66</v>
      </c>
      <c r="AM492" s="2" t="str">
        <f>HYPERLINK("https://transparencia.cidesi.mx/comprobantes/2021/CQ2100713 /C10FH0000008269.pdf")</f>
        <v>https://transparencia.cidesi.mx/comprobantes/2021/CQ2100713 /C10FH0000008269.pdf</v>
      </c>
      <c r="AN492" t="str">
        <f>HYPERLINK("https://transparencia.cidesi.mx/comprobantes/2021/CQ2100713 /C10FH0000008269.pdf")</f>
        <v>https://transparencia.cidesi.mx/comprobantes/2021/CQ2100713 /C10FH0000008269.pdf</v>
      </c>
      <c r="AO492" t="str">
        <f>HYPERLINK("https://transparencia.cidesi.mx/comprobantes/2021/CQ2100713 /C10FH0000008269.xml")</f>
        <v>https://transparencia.cidesi.mx/comprobantes/2021/CQ2100713 /C10FH0000008269.xml</v>
      </c>
      <c r="AP492" t="s">
        <v>988</v>
      </c>
      <c r="AQ492" t="s">
        <v>989</v>
      </c>
      <c r="AR492" t="s">
        <v>990</v>
      </c>
      <c r="AS492" t="s">
        <v>991</v>
      </c>
      <c r="AT492" s="1">
        <v>44447</v>
      </c>
      <c r="AU492" t="s">
        <v>73</v>
      </c>
    </row>
    <row r="493" spans="1:47" x14ac:dyDescent="0.3">
      <c r="A493" t="s">
        <v>246</v>
      </c>
      <c r="B493" t="s">
        <v>182</v>
      </c>
      <c r="C493" t="s">
        <v>183</v>
      </c>
      <c r="D493">
        <v>636</v>
      </c>
      <c r="E493" t="s">
        <v>910</v>
      </c>
      <c r="F493" t="s">
        <v>911</v>
      </c>
      <c r="G493" t="s">
        <v>912</v>
      </c>
      <c r="H493" t="s">
        <v>984</v>
      </c>
      <c r="I493" t="s">
        <v>54</v>
      </c>
      <c r="J493" t="s">
        <v>985</v>
      </c>
      <c r="K493" t="s">
        <v>56</v>
      </c>
      <c r="L493">
        <v>0</v>
      </c>
      <c r="M493" t="s">
        <v>73</v>
      </c>
      <c r="N493">
        <v>0</v>
      </c>
      <c r="O493" t="s">
        <v>58</v>
      </c>
      <c r="P493" t="s">
        <v>59</v>
      </c>
      <c r="Q493" t="s">
        <v>986</v>
      </c>
      <c r="R493" t="s">
        <v>985</v>
      </c>
      <c r="S493" s="1">
        <v>44437</v>
      </c>
      <c r="T493" s="1">
        <v>44443</v>
      </c>
      <c r="U493">
        <v>37501</v>
      </c>
      <c r="V493" t="s">
        <v>104</v>
      </c>
      <c r="W493" t="s">
        <v>987</v>
      </c>
      <c r="X493" s="1">
        <v>44438</v>
      </c>
      <c r="Y493" t="s">
        <v>100</v>
      </c>
      <c r="Z493">
        <v>657.02</v>
      </c>
      <c r="AA493">
        <v>16</v>
      </c>
      <c r="AB493">
        <v>105.12</v>
      </c>
      <c r="AC493">
        <v>32.85</v>
      </c>
      <c r="AD493">
        <v>794.99</v>
      </c>
      <c r="AE493">
        <v>9848.15</v>
      </c>
      <c r="AF493">
        <v>7091</v>
      </c>
      <c r="AG493" t="s">
        <v>966</v>
      </c>
      <c r="AH493" t="s">
        <v>65</v>
      </c>
      <c r="AI493" t="s">
        <v>65</v>
      </c>
      <c r="AJ493" t="s">
        <v>66</v>
      </c>
      <c r="AK493" t="s">
        <v>66</v>
      </c>
      <c r="AL493" t="s">
        <v>66</v>
      </c>
      <c r="AM493" s="2" t="str">
        <f>HYPERLINK("https://transparencia.cidesi.mx/comprobantes/2021/CQ2100713 /C11GTC161215MH7_Factura__2191_2A49B8C5-AE8C-43F4-BBD6-294823DC15D5.pdf")</f>
        <v>https://transparencia.cidesi.mx/comprobantes/2021/CQ2100713 /C11GTC161215MH7_Factura__2191_2A49B8C5-AE8C-43F4-BBD6-294823DC15D5.pdf</v>
      </c>
      <c r="AN493" t="str">
        <f>HYPERLINK("https://transparencia.cidesi.mx/comprobantes/2021/CQ2100713 /C11GTC161215MH7_Factura__2191_2A49B8C5-AE8C-43F4-BBD6-294823DC15D5.pdf")</f>
        <v>https://transparencia.cidesi.mx/comprobantes/2021/CQ2100713 /C11GTC161215MH7_Factura__2191_2A49B8C5-AE8C-43F4-BBD6-294823DC15D5.pdf</v>
      </c>
      <c r="AO493" t="str">
        <f>HYPERLINK("https://transparencia.cidesi.mx/comprobantes/2021/CQ2100713 /C11GTC161215MH7_Factura__2191_2A49B8C5-AE8C-43F4-BBD6-294823DC15D5.xml")</f>
        <v>https://transparencia.cidesi.mx/comprobantes/2021/CQ2100713 /C11GTC161215MH7_Factura__2191_2A49B8C5-AE8C-43F4-BBD6-294823DC15D5.xml</v>
      </c>
      <c r="AP493" t="s">
        <v>988</v>
      </c>
      <c r="AQ493" t="s">
        <v>989</v>
      </c>
      <c r="AR493" t="s">
        <v>990</v>
      </c>
      <c r="AS493" t="s">
        <v>991</v>
      </c>
      <c r="AT493" s="1">
        <v>44447</v>
      </c>
      <c r="AU493" t="s">
        <v>73</v>
      </c>
    </row>
    <row r="494" spans="1:47" x14ac:dyDescent="0.3">
      <c r="A494" t="s">
        <v>246</v>
      </c>
      <c r="B494" t="s">
        <v>182</v>
      </c>
      <c r="C494" t="s">
        <v>183</v>
      </c>
      <c r="D494">
        <v>636</v>
      </c>
      <c r="E494" t="s">
        <v>910</v>
      </c>
      <c r="F494" t="s">
        <v>911</v>
      </c>
      <c r="G494" t="s">
        <v>912</v>
      </c>
      <c r="H494" t="s">
        <v>984</v>
      </c>
      <c r="I494" t="s">
        <v>54</v>
      </c>
      <c r="J494" t="s">
        <v>985</v>
      </c>
      <c r="K494" t="s">
        <v>56</v>
      </c>
      <c r="L494">
        <v>0</v>
      </c>
      <c r="M494" t="s">
        <v>73</v>
      </c>
      <c r="N494">
        <v>0</v>
      </c>
      <c r="O494" t="s">
        <v>58</v>
      </c>
      <c r="P494" t="s">
        <v>59</v>
      </c>
      <c r="Q494" t="s">
        <v>986</v>
      </c>
      <c r="R494" t="s">
        <v>985</v>
      </c>
      <c r="S494" s="1">
        <v>44437</v>
      </c>
      <c r="T494" s="1">
        <v>44443</v>
      </c>
      <c r="U494">
        <v>37501</v>
      </c>
      <c r="V494" t="s">
        <v>104</v>
      </c>
      <c r="W494" t="s">
        <v>987</v>
      </c>
      <c r="X494" s="1">
        <v>44438</v>
      </c>
      <c r="Y494" t="s">
        <v>100</v>
      </c>
      <c r="Z494">
        <v>512.92999999999995</v>
      </c>
      <c r="AA494">
        <v>16</v>
      </c>
      <c r="AB494">
        <v>82.07</v>
      </c>
      <c r="AC494">
        <v>0</v>
      </c>
      <c r="AD494">
        <v>595</v>
      </c>
      <c r="AE494">
        <v>9848.15</v>
      </c>
      <c r="AF494">
        <v>7091</v>
      </c>
      <c r="AG494" t="s">
        <v>966</v>
      </c>
      <c r="AH494" t="s">
        <v>65</v>
      </c>
      <c r="AI494" t="s">
        <v>65</v>
      </c>
      <c r="AJ494" t="s">
        <v>66</v>
      </c>
      <c r="AK494" t="s">
        <v>66</v>
      </c>
      <c r="AL494" t="s">
        <v>66</v>
      </c>
      <c r="AM494" s="2" t="str">
        <f>HYPERLINK("https://transparencia.cidesi.mx/comprobantes/2021/CQ2100713 /C12#5438A.CENTRO DE INGENIERIA Y DESARROLLO INDUSTRIALe3574869-1211-41b2-a1ed-29cfc9272cd0.pdf")</f>
        <v>https://transparencia.cidesi.mx/comprobantes/2021/CQ2100713 /C12#5438A.CENTRO DE INGENIERIA Y DESARROLLO INDUSTRIALe3574869-1211-41b2-a1ed-29cfc9272cd0.pdf</v>
      </c>
      <c r="AN494" t="str">
        <f>HYPERLINK("https://transparencia.cidesi.mx/comprobantes/2021/CQ2100713 /C12#5438A.CENTRO DE INGENIERIA Y DESARROLLO INDUSTRIALe3574869-1211-41b2-a1ed-29cfc9272cd0.pdf")</f>
        <v>https://transparencia.cidesi.mx/comprobantes/2021/CQ2100713 /C12#5438A.CENTRO DE INGENIERIA Y DESARROLLO INDUSTRIALe3574869-1211-41b2-a1ed-29cfc9272cd0.pdf</v>
      </c>
      <c r="AO494" t="str">
        <f>HYPERLINK("https://transparencia.cidesi.mx/comprobantes/2021/CQ2100713 /C12#5438A.CENTRO DE INGENIERIA Y DESARROLLO INDUSTRIALe3574869-1211-41b2-a1ed-29cfc9272cd0.xml")</f>
        <v>https://transparencia.cidesi.mx/comprobantes/2021/CQ2100713 /C12#5438A.CENTRO DE INGENIERIA Y DESARROLLO INDUSTRIALe3574869-1211-41b2-a1ed-29cfc9272cd0.xml</v>
      </c>
      <c r="AP494" t="s">
        <v>988</v>
      </c>
      <c r="AQ494" t="s">
        <v>989</v>
      </c>
      <c r="AR494" t="s">
        <v>990</v>
      </c>
      <c r="AS494" t="s">
        <v>991</v>
      </c>
      <c r="AT494" s="1">
        <v>44447</v>
      </c>
      <c r="AU494" t="s">
        <v>73</v>
      </c>
    </row>
    <row r="495" spans="1:47" x14ac:dyDescent="0.3">
      <c r="A495" t="s">
        <v>246</v>
      </c>
      <c r="B495" t="s">
        <v>182</v>
      </c>
      <c r="C495" t="s">
        <v>183</v>
      </c>
      <c r="D495">
        <v>636</v>
      </c>
      <c r="E495" t="s">
        <v>910</v>
      </c>
      <c r="F495" t="s">
        <v>911</v>
      </c>
      <c r="G495" t="s">
        <v>912</v>
      </c>
      <c r="H495" t="s">
        <v>984</v>
      </c>
      <c r="I495" t="s">
        <v>54</v>
      </c>
      <c r="J495" t="s">
        <v>985</v>
      </c>
      <c r="K495" t="s">
        <v>56</v>
      </c>
      <c r="L495">
        <v>0</v>
      </c>
      <c r="M495" t="s">
        <v>73</v>
      </c>
      <c r="N495">
        <v>0</v>
      </c>
      <c r="O495" t="s">
        <v>58</v>
      </c>
      <c r="P495" t="s">
        <v>59</v>
      </c>
      <c r="Q495" t="s">
        <v>986</v>
      </c>
      <c r="R495" t="s">
        <v>985</v>
      </c>
      <c r="S495" s="1">
        <v>44437</v>
      </c>
      <c r="T495" s="1">
        <v>44443</v>
      </c>
      <c r="U495">
        <v>37501</v>
      </c>
      <c r="V495" t="s">
        <v>61</v>
      </c>
      <c r="W495" t="s">
        <v>987</v>
      </c>
      <c r="X495" s="1">
        <v>44438</v>
      </c>
      <c r="Y495" t="s">
        <v>100</v>
      </c>
      <c r="Z495">
        <v>334.48</v>
      </c>
      <c r="AA495">
        <v>16</v>
      </c>
      <c r="AB495">
        <v>53.52</v>
      </c>
      <c r="AC495">
        <v>38.799999999999997</v>
      </c>
      <c r="AD495">
        <v>426.8</v>
      </c>
      <c r="AE495">
        <v>9848.15</v>
      </c>
      <c r="AF495">
        <v>7091</v>
      </c>
      <c r="AG495" t="s">
        <v>916</v>
      </c>
      <c r="AH495" t="s">
        <v>65</v>
      </c>
      <c r="AI495" t="s">
        <v>65</v>
      </c>
      <c r="AJ495" t="s">
        <v>66</v>
      </c>
      <c r="AK495" t="s">
        <v>66</v>
      </c>
      <c r="AL495" t="s">
        <v>66</v>
      </c>
      <c r="AM495" s="2" t="str">
        <f>HYPERLINK("https://transparencia.cidesi.mx/comprobantes/2021/CQ2100713 /C131FITASEN000000026308.pdf")</f>
        <v>https://transparencia.cidesi.mx/comprobantes/2021/CQ2100713 /C131FITASEN000000026308.pdf</v>
      </c>
      <c r="AN495" t="str">
        <f>HYPERLINK("https://transparencia.cidesi.mx/comprobantes/2021/CQ2100713 /C131FITASEN000000026308.pdf")</f>
        <v>https://transparencia.cidesi.mx/comprobantes/2021/CQ2100713 /C131FITASEN000000026308.pdf</v>
      </c>
      <c r="AO495" t="str">
        <f>HYPERLINK("https://transparencia.cidesi.mx/comprobantes/2021/CQ2100713 /C131FITASEN000000026308.xml")</f>
        <v>https://transparencia.cidesi.mx/comprobantes/2021/CQ2100713 /C131FITASEN000000026308.xml</v>
      </c>
      <c r="AP495" t="s">
        <v>988</v>
      </c>
      <c r="AQ495" t="s">
        <v>989</v>
      </c>
      <c r="AR495" t="s">
        <v>990</v>
      </c>
      <c r="AS495" t="s">
        <v>991</v>
      </c>
      <c r="AT495" s="1">
        <v>44447</v>
      </c>
      <c r="AU495" t="s">
        <v>73</v>
      </c>
    </row>
    <row r="496" spans="1:47" x14ac:dyDescent="0.3">
      <c r="A496" t="s">
        <v>246</v>
      </c>
      <c r="B496" t="s">
        <v>182</v>
      </c>
      <c r="C496" t="s">
        <v>183</v>
      </c>
      <c r="D496">
        <v>636</v>
      </c>
      <c r="E496" t="s">
        <v>910</v>
      </c>
      <c r="F496" t="s">
        <v>911</v>
      </c>
      <c r="G496" t="s">
        <v>912</v>
      </c>
      <c r="H496" t="s">
        <v>984</v>
      </c>
      <c r="I496" t="s">
        <v>54</v>
      </c>
      <c r="J496" t="s">
        <v>985</v>
      </c>
      <c r="K496" t="s">
        <v>56</v>
      </c>
      <c r="L496">
        <v>0</v>
      </c>
      <c r="M496" t="s">
        <v>73</v>
      </c>
      <c r="N496">
        <v>0</v>
      </c>
      <c r="O496" t="s">
        <v>58</v>
      </c>
      <c r="P496" t="s">
        <v>59</v>
      </c>
      <c r="Q496" t="s">
        <v>986</v>
      </c>
      <c r="R496" t="s">
        <v>985</v>
      </c>
      <c r="S496" s="1">
        <v>44437</v>
      </c>
      <c r="T496" s="1">
        <v>44443</v>
      </c>
      <c r="U496">
        <v>37501</v>
      </c>
      <c r="V496" t="s">
        <v>61</v>
      </c>
      <c r="W496" t="s">
        <v>987</v>
      </c>
      <c r="X496" s="1">
        <v>44438</v>
      </c>
      <c r="Y496" t="s">
        <v>100</v>
      </c>
      <c r="Z496">
        <v>502.58</v>
      </c>
      <c r="AA496">
        <v>16</v>
      </c>
      <c r="AB496">
        <v>80.41</v>
      </c>
      <c r="AC496">
        <v>0</v>
      </c>
      <c r="AD496">
        <v>582.99</v>
      </c>
      <c r="AE496">
        <v>9848.15</v>
      </c>
      <c r="AF496">
        <v>7091</v>
      </c>
      <c r="AG496" t="s">
        <v>916</v>
      </c>
      <c r="AH496" t="s">
        <v>65</v>
      </c>
      <c r="AI496" t="s">
        <v>65</v>
      </c>
      <c r="AJ496" t="s">
        <v>66</v>
      </c>
      <c r="AK496" t="s">
        <v>66</v>
      </c>
      <c r="AL496" t="s">
        <v>66</v>
      </c>
      <c r="AM496" s="2" t="str">
        <f>HYPERLINK("https://transparencia.cidesi.mx/comprobantes/2021/CQ2100713 /C1485474b0d-72ce-491e-ab44-7d93991bcb7a.pdf")</f>
        <v>https://transparencia.cidesi.mx/comprobantes/2021/CQ2100713 /C1485474b0d-72ce-491e-ab44-7d93991bcb7a.pdf</v>
      </c>
      <c r="AN496" t="str">
        <f>HYPERLINK("https://transparencia.cidesi.mx/comprobantes/2021/CQ2100713 /C1485474b0d-72ce-491e-ab44-7d93991bcb7a.pdf")</f>
        <v>https://transparencia.cidesi.mx/comprobantes/2021/CQ2100713 /C1485474b0d-72ce-491e-ab44-7d93991bcb7a.pdf</v>
      </c>
      <c r="AO496" t="str">
        <f>HYPERLINK("https://transparencia.cidesi.mx/comprobantes/2021/CQ2100713 /C1485474b0d-72ce-491e-ab44-7d93991bcb7a.xml")</f>
        <v>https://transparencia.cidesi.mx/comprobantes/2021/CQ2100713 /C1485474b0d-72ce-491e-ab44-7d93991bcb7a.xml</v>
      </c>
      <c r="AP496" t="s">
        <v>988</v>
      </c>
      <c r="AQ496" t="s">
        <v>989</v>
      </c>
      <c r="AR496" t="s">
        <v>990</v>
      </c>
      <c r="AS496" t="s">
        <v>991</v>
      </c>
      <c r="AT496" s="1">
        <v>44447</v>
      </c>
      <c r="AU496" t="s">
        <v>73</v>
      </c>
    </row>
    <row r="497" spans="1:47" x14ac:dyDescent="0.3">
      <c r="A497" t="s">
        <v>246</v>
      </c>
      <c r="B497" t="s">
        <v>182</v>
      </c>
      <c r="C497" t="s">
        <v>183</v>
      </c>
      <c r="D497">
        <v>636</v>
      </c>
      <c r="E497" t="s">
        <v>910</v>
      </c>
      <c r="F497" t="s">
        <v>911</v>
      </c>
      <c r="G497" t="s">
        <v>912</v>
      </c>
      <c r="H497" t="s">
        <v>984</v>
      </c>
      <c r="I497" t="s">
        <v>54</v>
      </c>
      <c r="J497" t="s">
        <v>985</v>
      </c>
      <c r="K497" t="s">
        <v>56</v>
      </c>
      <c r="L497">
        <v>0</v>
      </c>
      <c r="M497" t="s">
        <v>73</v>
      </c>
      <c r="N497">
        <v>0</v>
      </c>
      <c r="O497" t="s">
        <v>58</v>
      </c>
      <c r="P497" t="s">
        <v>59</v>
      </c>
      <c r="Q497" t="s">
        <v>986</v>
      </c>
      <c r="R497" t="s">
        <v>985</v>
      </c>
      <c r="S497" s="1">
        <v>44437</v>
      </c>
      <c r="T497" s="1">
        <v>44443</v>
      </c>
      <c r="U497">
        <v>37501</v>
      </c>
      <c r="V497" t="s">
        <v>104</v>
      </c>
      <c r="W497" t="s">
        <v>987</v>
      </c>
      <c r="X497" s="1">
        <v>44438</v>
      </c>
      <c r="Y497" t="s">
        <v>100</v>
      </c>
      <c r="Z497">
        <v>550.85</v>
      </c>
      <c r="AA497">
        <v>16</v>
      </c>
      <c r="AB497">
        <v>88.14</v>
      </c>
      <c r="AC497">
        <v>11.02</v>
      </c>
      <c r="AD497">
        <v>650.01</v>
      </c>
      <c r="AE497">
        <v>9848.15</v>
      </c>
      <c r="AF497">
        <v>7091</v>
      </c>
      <c r="AG497" t="s">
        <v>966</v>
      </c>
      <c r="AH497" t="s">
        <v>65</v>
      </c>
      <c r="AI497" t="s">
        <v>65</v>
      </c>
      <c r="AJ497" t="s">
        <v>66</v>
      </c>
      <c r="AK497" t="s">
        <v>66</v>
      </c>
      <c r="AL497" t="s">
        <v>66</v>
      </c>
      <c r="AM497" s="2" t="str">
        <f>HYPERLINK("https://transparencia.cidesi.mx/comprobantes/2021/CQ2100713 /C15NABL601123AU4FF1645.pdf")</f>
        <v>https://transparencia.cidesi.mx/comprobantes/2021/CQ2100713 /C15NABL601123AU4FF1645.pdf</v>
      </c>
      <c r="AN497" t="str">
        <f>HYPERLINK("https://transparencia.cidesi.mx/comprobantes/2021/CQ2100713 /C15NABL601123AU4FF1645.pdf")</f>
        <v>https://transparencia.cidesi.mx/comprobantes/2021/CQ2100713 /C15NABL601123AU4FF1645.pdf</v>
      </c>
      <c r="AO497" t="str">
        <f>HYPERLINK("https://transparencia.cidesi.mx/comprobantes/2021/CQ2100713 /C15NABL601123AU4FF1645.xml")</f>
        <v>https://transparencia.cidesi.mx/comprobantes/2021/CQ2100713 /C15NABL601123AU4FF1645.xml</v>
      </c>
      <c r="AP497" t="s">
        <v>988</v>
      </c>
      <c r="AQ497" t="s">
        <v>989</v>
      </c>
      <c r="AR497" t="s">
        <v>990</v>
      </c>
      <c r="AS497" t="s">
        <v>991</v>
      </c>
      <c r="AT497" s="1">
        <v>44447</v>
      </c>
      <c r="AU497" t="s">
        <v>73</v>
      </c>
    </row>
    <row r="498" spans="1:47" x14ac:dyDescent="0.3">
      <c r="A498" t="s">
        <v>246</v>
      </c>
      <c r="B498" t="s">
        <v>182</v>
      </c>
      <c r="C498" t="s">
        <v>183</v>
      </c>
      <c r="D498">
        <v>636</v>
      </c>
      <c r="E498" t="s">
        <v>910</v>
      </c>
      <c r="F498" t="s">
        <v>911</v>
      </c>
      <c r="G498" t="s">
        <v>912</v>
      </c>
      <c r="H498" t="s">
        <v>984</v>
      </c>
      <c r="I498" t="s">
        <v>54</v>
      </c>
      <c r="J498" t="s">
        <v>985</v>
      </c>
      <c r="K498" t="s">
        <v>56</v>
      </c>
      <c r="L498">
        <v>0</v>
      </c>
      <c r="M498" t="s">
        <v>73</v>
      </c>
      <c r="N498">
        <v>0</v>
      </c>
      <c r="O498" t="s">
        <v>58</v>
      </c>
      <c r="P498" t="s">
        <v>59</v>
      </c>
      <c r="Q498" t="s">
        <v>986</v>
      </c>
      <c r="R498" t="s">
        <v>985</v>
      </c>
      <c r="S498" s="1">
        <v>44437</v>
      </c>
      <c r="T498" s="1">
        <v>44443</v>
      </c>
      <c r="U498">
        <v>37501</v>
      </c>
      <c r="V498" t="s">
        <v>61</v>
      </c>
      <c r="W498" t="s">
        <v>987</v>
      </c>
      <c r="X498" s="1">
        <v>44438</v>
      </c>
      <c r="Y498" t="s">
        <v>100</v>
      </c>
      <c r="Z498">
        <v>366.38</v>
      </c>
      <c r="AA498">
        <v>16</v>
      </c>
      <c r="AB498">
        <v>58.62</v>
      </c>
      <c r="AC498">
        <v>0</v>
      </c>
      <c r="AD498">
        <v>425</v>
      </c>
      <c r="AE498">
        <v>9848.15</v>
      </c>
      <c r="AF498">
        <v>7091</v>
      </c>
      <c r="AG498" t="s">
        <v>916</v>
      </c>
      <c r="AH498" t="s">
        <v>65</v>
      </c>
      <c r="AI498" t="s">
        <v>65</v>
      </c>
      <c r="AJ498" t="s">
        <v>66</v>
      </c>
      <c r="AK498" t="s">
        <v>66</v>
      </c>
      <c r="AL498" t="s">
        <v>66</v>
      </c>
      <c r="AM498" s="2" t="str">
        <f>HYPERLINK("https://transparencia.cidesi.mx/comprobantes/2021/CQ2100713 /C16F0000094564.pdf")</f>
        <v>https://transparencia.cidesi.mx/comprobantes/2021/CQ2100713 /C16F0000094564.pdf</v>
      </c>
      <c r="AN498" t="str">
        <f>HYPERLINK("https://transparencia.cidesi.mx/comprobantes/2021/CQ2100713 /C16F0000094564.pdf")</f>
        <v>https://transparencia.cidesi.mx/comprobantes/2021/CQ2100713 /C16F0000094564.pdf</v>
      </c>
      <c r="AO498" t="str">
        <f>HYPERLINK("https://transparencia.cidesi.mx/comprobantes/2021/CQ2100713 /C16F0000094564.xml")</f>
        <v>https://transparencia.cidesi.mx/comprobantes/2021/CQ2100713 /C16F0000094564.xml</v>
      </c>
      <c r="AP498" t="s">
        <v>988</v>
      </c>
      <c r="AQ498" t="s">
        <v>989</v>
      </c>
      <c r="AR498" t="s">
        <v>990</v>
      </c>
      <c r="AS498" t="s">
        <v>991</v>
      </c>
      <c r="AT498" s="1">
        <v>44447</v>
      </c>
      <c r="AU498" t="s">
        <v>73</v>
      </c>
    </row>
    <row r="499" spans="1:47" x14ac:dyDescent="0.3">
      <c r="A499" t="s">
        <v>246</v>
      </c>
      <c r="B499" t="s">
        <v>182</v>
      </c>
      <c r="C499" t="s">
        <v>183</v>
      </c>
      <c r="D499">
        <v>636</v>
      </c>
      <c r="E499" t="s">
        <v>910</v>
      </c>
      <c r="F499" t="s">
        <v>911</v>
      </c>
      <c r="G499" t="s">
        <v>912</v>
      </c>
      <c r="H499" t="s">
        <v>984</v>
      </c>
      <c r="I499" t="s">
        <v>54</v>
      </c>
      <c r="J499" t="s">
        <v>985</v>
      </c>
      <c r="K499" t="s">
        <v>56</v>
      </c>
      <c r="L499">
        <v>0</v>
      </c>
      <c r="M499" t="s">
        <v>73</v>
      </c>
      <c r="N499">
        <v>0</v>
      </c>
      <c r="O499" t="s">
        <v>58</v>
      </c>
      <c r="P499" t="s">
        <v>59</v>
      </c>
      <c r="Q499" t="s">
        <v>986</v>
      </c>
      <c r="R499" t="s">
        <v>985</v>
      </c>
      <c r="S499" s="1">
        <v>44437</v>
      </c>
      <c r="T499" s="1">
        <v>44443</v>
      </c>
      <c r="U499">
        <v>37501</v>
      </c>
      <c r="V499" t="s">
        <v>94</v>
      </c>
      <c r="W499" t="s">
        <v>987</v>
      </c>
      <c r="X499" s="1">
        <v>44438</v>
      </c>
      <c r="Y499" t="s">
        <v>100</v>
      </c>
      <c r="Z499">
        <v>160</v>
      </c>
      <c r="AA499">
        <v>0</v>
      </c>
      <c r="AB499">
        <v>0</v>
      </c>
      <c r="AC499">
        <v>0</v>
      </c>
      <c r="AD499">
        <v>160</v>
      </c>
      <c r="AE499">
        <v>9848.15</v>
      </c>
      <c r="AF499">
        <v>7091</v>
      </c>
      <c r="AG499" t="s">
        <v>992</v>
      </c>
      <c r="AH499" t="s">
        <v>66</v>
      </c>
      <c r="AI499" t="s">
        <v>65</v>
      </c>
      <c r="AJ499" t="s">
        <v>66</v>
      </c>
      <c r="AK499" t="s">
        <v>66</v>
      </c>
      <c r="AL499" t="s">
        <v>66</v>
      </c>
      <c r="AM499" s="2" t="str">
        <f>HYPERLINK("https://transparencia.cidesi.mx/comprobantes/2021/CQ2100713 /C17CENTRO DE INGENIERIA Y DESARROLLO INDUSTRIAL_01.pdf")</f>
        <v>https://transparencia.cidesi.mx/comprobantes/2021/CQ2100713 /C17CENTRO DE INGENIERIA Y DESARROLLO INDUSTRIAL_01.pdf</v>
      </c>
      <c r="AN499" t="str">
        <f>HYPERLINK("https://transparencia.cidesi.mx/comprobantes/2021/CQ2100713 /C17CENTRO DE INGENIERIA Y DESARROLLO INDUSTRIAL_01.pdf")</f>
        <v>https://transparencia.cidesi.mx/comprobantes/2021/CQ2100713 /C17CENTRO DE INGENIERIA Y DESARROLLO INDUSTRIAL_01.pdf</v>
      </c>
      <c r="AO499" t="str">
        <f>HYPERLINK("https://transparencia.cidesi.mx/comprobantes/2021/CQ2100713 /C1705F69DDD-88C3-4F65-8EE4-5CF04765FA8E.xml")</f>
        <v>https://transparencia.cidesi.mx/comprobantes/2021/CQ2100713 /C1705F69DDD-88C3-4F65-8EE4-5CF04765FA8E.xml</v>
      </c>
      <c r="AP499" t="s">
        <v>988</v>
      </c>
      <c r="AQ499" t="s">
        <v>989</v>
      </c>
      <c r="AR499" t="s">
        <v>990</v>
      </c>
      <c r="AS499" t="s">
        <v>991</v>
      </c>
      <c r="AT499" s="1">
        <v>44447</v>
      </c>
      <c r="AU499" t="s">
        <v>73</v>
      </c>
    </row>
    <row r="500" spans="1:47" x14ac:dyDescent="0.3">
      <c r="A500" t="s">
        <v>246</v>
      </c>
      <c r="B500" t="s">
        <v>182</v>
      </c>
      <c r="C500" t="s">
        <v>183</v>
      </c>
      <c r="D500">
        <v>636</v>
      </c>
      <c r="E500" t="s">
        <v>910</v>
      </c>
      <c r="F500" t="s">
        <v>911</v>
      </c>
      <c r="G500" t="s">
        <v>912</v>
      </c>
      <c r="H500" t="s">
        <v>984</v>
      </c>
      <c r="I500" t="s">
        <v>54</v>
      </c>
      <c r="J500" t="s">
        <v>985</v>
      </c>
      <c r="K500" t="s">
        <v>56</v>
      </c>
      <c r="L500">
        <v>0</v>
      </c>
      <c r="M500" t="s">
        <v>73</v>
      </c>
      <c r="N500">
        <v>0</v>
      </c>
      <c r="O500" t="s">
        <v>58</v>
      </c>
      <c r="P500" t="s">
        <v>59</v>
      </c>
      <c r="Q500" t="s">
        <v>986</v>
      </c>
      <c r="R500" t="s">
        <v>985</v>
      </c>
      <c r="S500" s="1">
        <v>44437</v>
      </c>
      <c r="T500" s="1">
        <v>44443</v>
      </c>
      <c r="U500">
        <v>26102</v>
      </c>
      <c r="V500" t="s">
        <v>280</v>
      </c>
      <c r="W500" t="s">
        <v>987</v>
      </c>
      <c r="X500" s="1">
        <v>44438</v>
      </c>
      <c r="Y500" t="s">
        <v>100</v>
      </c>
      <c r="Z500">
        <v>824.3</v>
      </c>
      <c r="AA500">
        <v>16</v>
      </c>
      <c r="AB500">
        <v>128.44</v>
      </c>
      <c r="AC500">
        <v>0</v>
      </c>
      <c r="AD500">
        <v>952.74</v>
      </c>
      <c r="AE500">
        <v>9848.15</v>
      </c>
      <c r="AF500">
        <v>7091</v>
      </c>
      <c r="AG500" t="s">
        <v>993</v>
      </c>
      <c r="AH500" t="s">
        <v>65</v>
      </c>
      <c r="AI500" t="s">
        <v>65</v>
      </c>
      <c r="AJ500" t="s">
        <v>66</v>
      </c>
      <c r="AK500" t="s">
        <v>66</v>
      </c>
      <c r="AL500" t="s">
        <v>66</v>
      </c>
      <c r="AM500" s="2" t="str">
        <f>HYPERLINK("https://transparencia.cidesi.mx/comprobantes/2021/CQ2100713 /C18fact_22354_202192142328.pdf")</f>
        <v>https://transparencia.cidesi.mx/comprobantes/2021/CQ2100713 /C18fact_22354_202192142328.pdf</v>
      </c>
      <c r="AN500" t="str">
        <f>HYPERLINK("https://transparencia.cidesi.mx/comprobantes/2021/CQ2100713 /C18fact_22354_202192142328.pdf")</f>
        <v>https://transparencia.cidesi.mx/comprobantes/2021/CQ2100713 /C18fact_22354_202192142328.pdf</v>
      </c>
      <c r="AO500" t="str">
        <f>HYPERLINK("https://transparencia.cidesi.mx/comprobantes/2021/CQ2100713 /C18fact_22354_202192142328.xml")</f>
        <v>https://transparencia.cidesi.mx/comprobantes/2021/CQ2100713 /C18fact_22354_202192142328.xml</v>
      </c>
      <c r="AP500" t="s">
        <v>988</v>
      </c>
      <c r="AQ500" t="s">
        <v>989</v>
      </c>
      <c r="AR500" t="s">
        <v>990</v>
      </c>
      <c r="AS500" t="s">
        <v>991</v>
      </c>
      <c r="AT500" s="1">
        <v>44447</v>
      </c>
      <c r="AU500" t="s">
        <v>73</v>
      </c>
    </row>
    <row r="501" spans="1:47" x14ac:dyDescent="0.3">
      <c r="A501" t="s">
        <v>246</v>
      </c>
      <c r="B501" t="s">
        <v>182</v>
      </c>
      <c r="C501" t="s">
        <v>183</v>
      </c>
      <c r="D501">
        <v>636</v>
      </c>
      <c r="E501" t="s">
        <v>910</v>
      </c>
      <c r="F501" t="s">
        <v>911</v>
      </c>
      <c r="G501" t="s">
        <v>912</v>
      </c>
      <c r="H501" t="s">
        <v>984</v>
      </c>
      <c r="I501" t="s">
        <v>54</v>
      </c>
      <c r="J501" t="s">
        <v>985</v>
      </c>
      <c r="K501" t="s">
        <v>56</v>
      </c>
      <c r="L501">
        <v>0</v>
      </c>
      <c r="M501" t="s">
        <v>73</v>
      </c>
      <c r="N501">
        <v>0</v>
      </c>
      <c r="O501" t="s">
        <v>58</v>
      </c>
      <c r="P501" t="s">
        <v>59</v>
      </c>
      <c r="Q501" t="s">
        <v>986</v>
      </c>
      <c r="R501" t="s">
        <v>985</v>
      </c>
      <c r="S501" s="1">
        <v>44437</v>
      </c>
      <c r="T501" s="1">
        <v>44443</v>
      </c>
      <c r="U501">
        <v>26102</v>
      </c>
      <c r="V501" t="s">
        <v>280</v>
      </c>
      <c r="W501" t="s">
        <v>987</v>
      </c>
      <c r="X501" s="1">
        <v>44438</v>
      </c>
      <c r="Y501" t="s">
        <v>100</v>
      </c>
      <c r="Z501">
        <v>172.98</v>
      </c>
      <c r="AA501">
        <v>16</v>
      </c>
      <c r="AB501">
        <v>27.02</v>
      </c>
      <c r="AC501">
        <v>0</v>
      </c>
      <c r="AD501">
        <v>200</v>
      </c>
      <c r="AE501">
        <v>9848.15</v>
      </c>
      <c r="AF501">
        <v>7091</v>
      </c>
      <c r="AG501" t="s">
        <v>993</v>
      </c>
      <c r="AH501" t="s">
        <v>65</v>
      </c>
      <c r="AI501" t="s">
        <v>65</v>
      </c>
      <c r="AJ501" t="s">
        <v>66</v>
      </c>
      <c r="AK501" t="s">
        <v>66</v>
      </c>
      <c r="AL501" t="s">
        <v>66</v>
      </c>
      <c r="AM501" s="2" t="str">
        <f>HYPERLINK("https://transparencia.cidesi.mx/comprobantes/2021/CQ2100713 /C199F3EC54A-B37C-4488-A789-4718374270F5.pdf")</f>
        <v>https://transparencia.cidesi.mx/comprobantes/2021/CQ2100713 /C199F3EC54A-B37C-4488-A789-4718374270F5.pdf</v>
      </c>
      <c r="AN501" t="str">
        <f>HYPERLINK("https://transparencia.cidesi.mx/comprobantes/2021/CQ2100713 /C199F3EC54A-B37C-4488-A789-4718374270F5.pdf")</f>
        <v>https://transparencia.cidesi.mx/comprobantes/2021/CQ2100713 /C199F3EC54A-B37C-4488-A789-4718374270F5.pdf</v>
      </c>
      <c r="AO501" t="str">
        <f>HYPERLINK("https://transparencia.cidesi.mx/comprobantes/2021/CQ2100713 /C199F3EC54A-B37C-4488-A789-4718374270F5.xml")</f>
        <v>https://transparencia.cidesi.mx/comprobantes/2021/CQ2100713 /C199F3EC54A-B37C-4488-A789-4718374270F5.xml</v>
      </c>
      <c r="AP501" t="s">
        <v>988</v>
      </c>
      <c r="AQ501" t="s">
        <v>989</v>
      </c>
      <c r="AR501" t="s">
        <v>990</v>
      </c>
      <c r="AS501" t="s">
        <v>991</v>
      </c>
      <c r="AT501" s="1">
        <v>44447</v>
      </c>
      <c r="AU501" t="s">
        <v>73</v>
      </c>
    </row>
    <row r="502" spans="1:47" x14ac:dyDescent="0.3">
      <c r="A502" t="s">
        <v>246</v>
      </c>
      <c r="B502" t="s">
        <v>182</v>
      </c>
      <c r="C502" t="s">
        <v>183</v>
      </c>
      <c r="D502">
        <v>636</v>
      </c>
      <c r="E502" t="s">
        <v>910</v>
      </c>
      <c r="F502" t="s">
        <v>911</v>
      </c>
      <c r="G502" t="s">
        <v>912</v>
      </c>
      <c r="H502" t="s">
        <v>984</v>
      </c>
      <c r="I502" t="s">
        <v>54</v>
      </c>
      <c r="J502" t="s">
        <v>985</v>
      </c>
      <c r="K502" t="s">
        <v>56</v>
      </c>
      <c r="L502">
        <v>0</v>
      </c>
      <c r="M502" t="s">
        <v>73</v>
      </c>
      <c r="N502">
        <v>0</v>
      </c>
      <c r="O502" t="s">
        <v>58</v>
      </c>
      <c r="P502" t="s">
        <v>59</v>
      </c>
      <c r="Q502" t="s">
        <v>986</v>
      </c>
      <c r="R502" t="s">
        <v>985</v>
      </c>
      <c r="S502" s="1">
        <v>44437</v>
      </c>
      <c r="T502" s="1">
        <v>44443</v>
      </c>
      <c r="U502">
        <v>37501</v>
      </c>
      <c r="V502" t="s">
        <v>61</v>
      </c>
      <c r="W502" t="s">
        <v>987</v>
      </c>
      <c r="X502" s="1">
        <v>44438</v>
      </c>
      <c r="Y502" t="s">
        <v>100</v>
      </c>
      <c r="Z502">
        <v>85.87</v>
      </c>
      <c r="AA502">
        <v>16</v>
      </c>
      <c r="AB502">
        <v>9.52</v>
      </c>
      <c r="AC502">
        <v>2.11</v>
      </c>
      <c r="AD502">
        <v>97.5</v>
      </c>
      <c r="AE502">
        <v>9848.15</v>
      </c>
      <c r="AF502">
        <v>7091</v>
      </c>
      <c r="AG502" t="s">
        <v>916</v>
      </c>
      <c r="AH502" t="s">
        <v>65</v>
      </c>
      <c r="AI502" t="s">
        <v>65</v>
      </c>
      <c r="AJ502" t="s">
        <v>66</v>
      </c>
      <c r="AK502" t="s">
        <v>66</v>
      </c>
      <c r="AL502" t="s">
        <v>66</v>
      </c>
      <c r="AM502" s="2" t="str">
        <f>HYPERLINK("https://transparencia.cidesi.mx/comprobantes/2021/CQ2100713 /C20FACTURA_1630943833517_343943727.pdf")</f>
        <v>https://transparencia.cidesi.mx/comprobantes/2021/CQ2100713 /C20FACTURA_1630943833517_343943727.pdf</v>
      </c>
      <c r="AN502" t="str">
        <f>HYPERLINK("https://transparencia.cidesi.mx/comprobantes/2021/CQ2100713 /C20FACTURA_1630943833517_343943727.pdf")</f>
        <v>https://transparencia.cidesi.mx/comprobantes/2021/CQ2100713 /C20FACTURA_1630943833517_343943727.pdf</v>
      </c>
      <c r="AO502" t="str">
        <f>HYPERLINK("https://transparencia.cidesi.mx/comprobantes/2021/CQ2100713 /C20FACTURA_1630943833517_343943727.xml")</f>
        <v>https://transparencia.cidesi.mx/comprobantes/2021/CQ2100713 /C20FACTURA_1630943833517_343943727.xml</v>
      </c>
      <c r="AP502" t="s">
        <v>988</v>
      </c>
      <c r="AQ502" t="s">
        <v>989</v>
      </c>
      <c r="AR502" t="s">
        <v>990</v>
      </c>
      <c r="AS502" t="s">
        <v>991</v>
      </c>
      <c r="AT502" s="1">
        <v>44447</v>
      </c>
      <c r="AU502" t="s">
        <v>73</v>
      </c>
    </row>
    <row r="503" spans="1:47" x14ac:dyDescent="0.3">
      <c r="A503" t="s">
        <v>246</v>
      </c>
      <c r="B503" t="s">
        <v>182</v>
      </c>
      <c r="C503" t="s">
        <v>183</v>
      </c>
      <c r="D503">
        <v>636</v>
      </c>
      <c r="E503" t="s">
        <v>910</v>
      </c>
      <c r="F503" t="s">
        <v>911</v>
      </c>
      <c r="G503" t="s">
        <v>912</v>
      </c>
      <c r="H503" t="s">
        <v>984</v>
      </c>
      <c r="I503" t="s">
        <v>54</v>
      </c>
      <c r="J503" t="s">
        <v>985</v>
      </c>
      <c r="K503" t="s">
        <v>56</v>
      </c>
      <c r="L503">
        <v>0</v>
      </c>
      <c r="M503" t="s">
        <v>73</v>
      </c>
      <c r="N503">
        <v>0</v>
      </c>
      <c r="O503" t="s">
        <v>58</v>
      </c>
      <c r="P503" t="s">
        <v>59</v>
      </c>
      <c r="Q503" t="s">
        <v>986</v>
      </c>
      <c r="R503" t="s">
        <v>985</v>
      </c>
      <c r="S503" s="1">
        <v>44437</v>
      </c>
      <c r="T503" s="1">
        <v>44443</v>
      </c>
      <c r="U503">
        <v>37501</v>
      </c>
      <c r="V503" t="s">
        <v>61</v>
      </c>
      <c r="W503" t="s">
        <v>987</v>
      </c>
      <c r="X503" s="1">
        <v>44438</v>
      </c>
      <c r="Y503" t="s">
        <v>100</v>
      </c>
      <c r="Z503">
        <v>120.49</v>
      </c>
      <c r="AA503">
        <v>16</v>
      </c>
      <c r="AB503">
        <v>8.75</v>
      </c>
      <c r="AC503">
        <v>5.26</v>
      </c>
      <c r="AD503">
        <v>134.5</v>
      </c>
      <c r="AE503">
        <v>9848.15</v>
      </c>
      <c r="AF503">
        <v>7091</v>
      </c>
      <c r="AG503" t="s">
        <v>916</v>
      </c>
      <c r="AH503" t="s">
        <v>65</v>
      </c>
      <c r="AI503" t="s">
        <v>65</v>
      </c>
      <c r="AJ503" t="s">
        <v>66</v>
      </c>
      <c r="AK503" t="s">
        <v>66</v>
      </c>
      <c r="AL503" t="s">
        <v>66</v>
      </c>
      <c r="AM503" s="2" t="str">
        <f>HYPERLINK("https://transparencia.cidesi.mx/comprobantes/2021/CQ2100713 /C21FACTURA_1630943746657_343943479.pdf")</f>
        <v>https://transparencia.cidesi.mx/comprobantes/2021/CQ2100713 /C21FACTURA_1630943746657_343943479.pdf</v>
      </c>
      <c r="AN503" t="str">
        <f>HYPERLINK("https://transparencia.cidesi.mx/comprobantes/2021/CQ2100713 /C21FACTURA_1630943746657_343943479.pdf")</f>
        <v>https://transparencia.cidesi.mx/comprobantes/2021/CQ2100713 /C21FACTURA_1630943746657_343943479.pdf</v>
      </c>
      <c r="AO503" t="str">
        <f>HYPERLINK("https://transparencia.cidesi.mx/comprobantes/2021/CQ2100713 /C21FACTURA_1630943746657_343943479.xml")</f>
        <v>https://transparencia.cidesi.mx/comprobantes/2021/CQ2100713 /C21FACTURA_1630943746657_343943479.xml</v>
      </c>
      <c r="AP503" t="s">
        <v>988</v>
      </c>
      <c r="AQ503" t="s">
        <v>989</v>
      </c>
      <c r="AR503" t="s">
        <v>990</v>
      </c>
      <c r="AS503" t="s">
        <v>991</v>
      </c>
      <c r="AT503" s="1">
        <v>44447</v>
      </c>
      <c r="AU503" t="s">
        <v>73</v>
      </c>
    </row>
    <row r="504" spans="1:47" x14ac:dyDescent="0.3">
      <c r="A504" t="s">
        <v>246</v>
      </c>
      <c r="B504" t="s">
        <v>182</v>
      </c>
      <c r="C504" t="s">
        <v>183</v>
      </c>
      <c r="D504">
        <v>636</v>
      </c>
      <c r="E504" t="s">
        <v>910</v>
      </c>
      <c r="F504" t="s">
        <v>911</v>
      </c>
      <c r="G504" t="s">
        <v>912</v>
      </c>
      <c r="H504" t="s">
        <v>984</v>
      </c>
      <c r="I504" t="s">
        <v>54</v>
      </c>
      <c r="J504" t="s">
        <v>985</v>
      </c>
      <c r="K504" t="s">
        <v>56</v>
      </c>
      <c r="L504">
        <v>0</v>
      </c>
      <c r="M504" t="s">
        <v>73</v>
      </c>
      <c r="N504">
        <v>0</v>
      </c>
      <c r="O504" t="s">
        <v>58</v>
      </c>
      <c r="P504" t="s">
        <v>59</v>
      </c>
      <c r="Q504" t="s">
        <v>986</v>
      </c>
      <c r="R504" t="s">
        <v>985</v>
      </c>
      <c r="S504" s="1">
        <v>44437</v>
      </c>
      <c r="T504" s="1">
        <v>44443</v>
      </c>
      <c r="U504">
        <v>37501</v>
      </c>
      <c r="V504" t="s">
        <v>61</v>
      </c>
      <c r="W504" t="s">
        <v>987</v>
      </c>
      <c r="X504" s="1">
        <v>44438</v>
      </c>
      <c r="Y504" t="s">
        <v>100</v>
      </c>
      <c r="Z504">
        <v>82.9</v>
      </c>
      <c r="AA504">
        <v>16</v>
      </c>
      <c r="AB504">
        <v>7.93</v>
      </c>
      <c r="AC504">
        <v>1.07</v>
      </c>
      <c r="AD504">
        <v>91.9</v>
      </c>
      <c r="AE504">
        <v>9848.15</v>
      </c>
      <c r="AF504">
        <v>7091</v>
      </c>
      <c r="AG504" t="s">
        <v>916</v>
      </c>
      <c r="AH504" t="s">
        <v>65</v>
      </c>
      <c r="AI504" t="s">
        <v>65</v>
      </c>
      <c r="AJ504" t="s">
        <v>66</v>
      </c>
      <c r="AK504" t="s">
        <v>66</v>
      </c>
      <c r="AL504" t="s">
        <v>66</v>
      </c>
      <c r="AM504" s="2" t="str">
        <f>HYPERLINK("https://transparencia.cidesi.mx/comprobantes/2021/CQ2100713 /C22FACTURA_1630851318178_343872107.pdf")</f>
        <v>https://transparencia.cidesi.mx/comprobantes/2021/CQ2100713 /C22FACTURA_1630851318178_343872107.pdf</v>
      </c>
      <c r="AN504" t="str">
        <f>HYPERLINK("https://transparencia.cidesi.mx/comprobantes/2021/CQ2100713 /C22FACTURA_1630851318178_343872107.pdf")</f>
        <v>https://transparencia.cidesi.mx/comprobantes/2021/CQ2100713 /C22FACTURA_1630851318178_343872107.pdf</v>
      </c>
      <c r="AO504" t="str">
        <f>HYPERLINK("https://transparencia.cidesi.mx/comprobantes/2021/CQ2100713 /C22FACTURA_1630851319408_343872107.xml")</f>
        <v>https://transparencia.cidesi.mx/comprobantes/2021/CQ2100713 /C22FACTURA_1630851319408_343872107.xml</v>
      </c>
      <c r="AP504" t="s">
        <v>988</v>
      </c>
      <c r="AQ504" t="s">
        <v>989</v>
      </c>
      <c r="AR504" t="s">
        <v>990</v>
      </c>
      <c r="AS504" t="s">
        <v>991</v>
      </c>
      <c r="AT504" s="1">
        <v>44447</v>
      </c>
      <c r="AU504" t="s">
        <v>73</v>
      </c>
    </row>
    <row r="505" spans="1:47" x14ac:dyDescent="0.3">
      <c r="A505" t="s">
        <v>246</v>
      </c>
      <c r="B505" t="s">
        <v>182</v>
      </c>
      <c r="C505" t="s">
        <v>183</v>
      </c>
      <c r="D505">
        <v>636</v>
      </c>
      <c r="E505" t="s">
        <v>910</v>
      </c>
      <c r="F505" t="s">
        <v>911</v>
      </c>
      <c r="G505" t="s">
        <v>912</v>
      </c>
      <c r="H505" t="s">
        <v>984</v>
      </c>
      <c r="I505" t="s">
        <v>54</v>
      </c>
      <c r="J505" t="s">
        <v>985</v>
      </c>
      <c r="K505" t="s">
        <v>56</v>
      </c>
      <c r="L505">
        <v>0</v>
      </c>
      <c r="M505" t="s">
        <v>73</v>
      </c>
      <c r="N505">
        <v>0</v>
      </c>
      <c r="O505" t="s">
        <v>58</v>
      </c>
      <c r="P505" t="s">
        <v>59</v>
      </c>
      <c r="Q505" t="s">
        <v>986</v>
      </c>
      <c r="R505" t="s">
        <v>985</v>
      </c>
      <c r="S505" s="1">
        <v>44437</v>
      </c>
      <c r="T505" s="1">
        <v>44443</v>
      </c>
      <c r="U505">
        <v>37501</v>
      </c>
      <c r="V505" t="s">
        <v>61</v>
      </c>
      <c r="W505" t="s">
        <v>987</v>
      </c>
      <c r="X505" s="1">
        <v>44438</v>
      </c>
      <c r="Y505" t="s">
        <v>100</v>
      </c>
      <c r="Z505">
        <v>136.61000000000001</v>
      </c>
      <c r="AA505">
        <v>16</v>
      </c>
      <c r="AB505">
        <v>1.66</v>
      </c>
      <c r="AC505">
        <v>5.63</v>
      </c>
      <c r="AD505">
        <v>143.9</v>
      </c>
      <c r="AE505">
        <v>9848.15</v>
      </c>
      <c r="AF505">
        <v>7091</v>
      </c>
      <c r="AG505" t="s">
        <v>916</v>
      </c>
      <c r="AH505" t="s">
        <v>65</v>
      </c>
      <c r="AI505" t="s">
        <v>65</v>
      </c>
      <c r="AJ505" t="s">
        <v>66</v>
      </c>
      <c r="AK505" t="s">
        <v>66</v>
      </c>
      <c r="AL505" t="s">
        <v>66</v>
      </c>
      <c r="AM505" s="2" t="str">
        <f>HYPERLINK("https://transparencia.cidesi.mx/comprobantes/2021/CQ2100713 /C23FACTURA_1630640288499_343723943.pdf")</f>
        <v>https://transparencia.cidesi.mx/comprobantes/2021/CQ2100713 /C23FACTURA_1630640288499_343723943.pdf</v>
      </c>
      <c r="AN505" t="str">
        <f>HYPERLINK("https://transparencia.cidesi.mx/comprobantes/2021/CQ2100713 /C23FACTURA_1630640288499_343723943.pdf")</f>
        <v>https://transparencia.cidesi.mx/comprobantes/2021/CQ2100713 /C23FACTURA_1630640288499_343723943.pdf</v>
      </c>
      <c r="AO505" t="str">
        <f>HYPERLINK("https://transparencia.cidesi.mx/comprobantes/2021/CQ2100713 /C23FACTURA_1630640289909_343723943.xml")</f>
        <v>https://transparencia.cidesi.mx/comprobantes/2021/CQ2100713 /C23FACTURA_1630640289909_343723943.xml</v>
      </c>
      <c r="AP505" t="s">
        <v>988</v>
      </c>
      <c r="AQ505" t="s">
        <v>989</v>
      </c>
      <c r="AR505" t="s">
        <v>990</v>
      </c>
      <c r="AS505" t="s">
        <v>991</v>
      </c>
      <c r="AT505" s="1">
        <v>44447</v>
      </c>
      <c r="AU505" t="s">
        <v>73</v>
      </c>
    </row>
    <row r="506" spans="1:47" x14ac:dyDescent="0.3">
      <c r="A506" t="s">
        <v>246</v>
      </c>
      <c r="B506" t="s">
        <v>182</v>
      </c>
      <c r="C506" t="s">
        <v>183</v>
      </c>
      <c r="D506">
        <v>636</v>
      </c>
      <c r="E506" t="s">
        <v>910</v>
      </c>
      <c r="F506" t="s">
        <v>911</v>
      </c>
      <c r="G506" t="s">
        <v>912</v>
      </c>
      <c r="H506" t="s">
        <v>984</v>
      </c>
      <c r="I506" t="s">
        <v>54</v>
      </c>
      <c r="J506" t="s">
        <v>985</v>
      </c>
      <c r="K506" t="s">
        <v>56</v>
      </c>
      <c r="L506">
        <v>0</v>
      </c>
      <c r="M506" t="s">
        <v>73</v>
      </c>
      <c r="N506">
        <v>0</v>
      </c>
      <c r="O506" t="s">
        <v>58</v>
      </c>
      <c r="P506" t="s">
        <v>59</v>
      </c>
      <c r="Q506" t="s">
        <v>986</v>
      </c>
      <c r="R506" t="s">
        <v>985</v>
      </c>
      <c r="S506" s="1">
        <v>44437</v>
      </c>
      <c r="T506" s="1">
        <v>44443</v>
      </c>
      <c r="U506">
        <v>37501</v>
      </c>
      <c r="V506" t="s">
        <v>61</v>
      </c>
      <c r="W506" t="s">
        <v>987</v>
      </c>
      <c r="X506" s="1">
        <v>44438</v>
      </c>
      <c r="Y506" t="s">
        <v>100</v>
      </c>
      <c r="Z506">
        <v>105.05</v>
      </c>
      <c r="AA506">
        <v>16</v>
      </c>
      <c r="AB506">
        <v>4.28</v>
      </c>
      <c r="AC506">
        <v>1.67</v>
      </c>
      <c r="AD506">
        <v>111</v>
      </c>
      <c r="AE506">
        <v>9848.15</v>
      </c>
      <c r="AF506">
        <v>7091</v>
      </c>
      <c r="AG506" t="s">
        <v>916</v>
      </c>
      <c r="AH506" t="s">
        <v>65</v>
      </c>
      <c r="AI506" t="s">
        <v>65</v>
      </c>
      <c r="AJ506" t="s">
        <v>66</v>
      </c>
      <c r="AK506" t="s">
        <v>66</v>
      </c>
      <c r="AL506" t="s">
        <v>66</v>
      </c>
      <c r="AM506" s="2" t="str">
        <f>HYPERLINK("https://transparencia.cidesi.mx/comprobantes/2021/CQ2100713 /C24FACTURA_1630639790090_343723631.pdf")</f>
        <v>https://transparencia.cidesi.mx/comprobantes/2021/CQ2100713 /C24FACTURA_1630639790090_343723631.pdf</v>
      </c>
      <c r="AN506" t="str">
        <f>HYPERLINK("https://transparencia.cidesi.mx/comprobantes/2021/CQ2100713 /C24FACTURA_1630639790090_343723631.pdf")</f>
        <v>https://transparencia.cidesi.mx/comprobantes/2021/CQ2100713 /C24FACTURA_1630639790090_343723631.pdf</v>
      </c>
      <c r="AO506" t="str">
        <f>HYPERLINK("https://transparencia.cidesi.mx/comprobantes/2021/CQ2100713 /C24FACTURA_1630639791700_343723631.xml")</f>
        <v>https://transparencia.cidesi.mx/comprobantes/2021/CQ2100713 /C24FACTURA_1630639791700_343723631.xml</v>
      </c>
      <c r="AP506" t="s">
        <v>988</v>
      </c>
      <c r="AQ506" t="s">
        <v>989</v>
      </c>
      <c r="AR506" t="s">
        <v>990</v>
      </c>
      <c r="AS506" t="s">
        <v>991</v>
      </c>
      <c r="AT506" s="1">
        <v>44447</v>
      </c>
      <c r="AU506" t="s">
        <v>73</v>
      </c>
    </row>
    <row r="507" spans="1:47" x14ac:dyDescent="0.3">
      <c r="A507" t="s">
        <v>246</v>
      </c>
      <c r="B507" t="s">
        <v>182</v>
      </c>
      <c r="C507" t="s">
        <v>183</v>
      </c>
      <c r="D507">
        <v>636</v>
      </c>
      <c r="E507" t="s">
        <v>910</v>
      </c>
      <c r="F507" t="s">
        <v>911</v>
      </c>
      <c r="G507" t="s">
        <v>912</v>
      </c>
      <c r="H507" t="s">
        <v>994</v>
      </c>
      <c r="I507" t="s">
        <v>54</v>
      </c>
      <c r="J507" t="s">
        <v>995</v>
      </c>
      <c r="K507" t="s">
        <v>56</v>
      </c>
      <c r="L507">
        <v>0</v>
      </c>
      <c r="M507" t="s">
        <v>73</v>
      </c>
      <c r="N507">
        <v>0</v>
      </c>
      <c r="O507" t="s">
        <v>58</v>
      </c>
      <c r="P507" t="s">
        <v>59</v>
      </c>
      <c r="Q507" t="s">
        <v>60</v>
      </c>
      <c r="R507" t="s">
        <v>995</v>
      </c>
      <c r="S507" s="1">
        <v>44460</v>
      </c>
      <c r="T507" s="1">
        <v>44460</v>
      </c>
      <c r="U507">
        <v>37501</v>
      </c>
      <c r="V507" t="s">
        <v>61</v>
      </c>
      <c r="W507" t="s">
        <v>996</v>
      </c>
      <c r="X507" s="1">
        <v>44461</v>
      </c>
      <c r="Y507" t="s">
        <v>63</v>
      </c>
      <c r="Z507">
        <v>80.3</v>
      </c>
      <c r="AA507">
        <v>16</v>
      </c>
      <c r="AB507">
        <v>3.72</v>
      </c>
      <c r="AC507">
        <v>1.48</v>
      </c>
      <c r="AD507">
        <v>85.5</v>
      </c>
      <c r="AE507">
        <v>457.5</v>
      </c>
      <c r="AF507">
        <v>545</v>
      </c>
      <c r="AG507" t="s">
        <v>916</v>
      </c>
      <c r="AH507" t="s">
        <v>65</v>
      </c>
      <c r="AI507" t="s">
        <v>65</v>
      </c>
      <c r="AJ507" t="s">
        <v>66</v>
      </c>
      <c r="AK507" t="s">
        <v>66</v>
      </c>
      <c r="AL507" t="s">
        <v>66</v>
      </c>
      <c r="AM507" s="2" t="str">
        <f>HYPERLINK("https://transparencia.cidesi.mx/comprobantes/2021/CQ2100857 /C1FACTURA_1632274686164_345442283.pdf")</f>
        <v>https://transparencia.cidesi.mx/comprobantes/2021/CQ2100857 /C1FACTURA_1632274686164_345442283.pdf</v>
      </c>
      <c r="AN507" t="str">
        <f>HYPERLINK("https://transparencia.cidesi.mx/comprobantes/2021/CQ2100857 /C1FACTURA_1632274686164_345442283.pdf")</f>
        <v>https://transparencia.cidesi.mx/comprobantes/2021/CQ2100857 /C1FACTURA_1632274686164_345442283.pdf</v>
      </c>
      <c r="AO507" t="str">
        <f>HYPERLINK("https://transparencia.cidesi.mx/comprobantes/2021/CQ2100857 /C1FACTURA_1632274686164_345442283.xml")</f>
        <v>https://transparencia.cidesi.mx/comprobantes/2021/CQ2100857 /C1FACTURA_1632274686164_345442283.xml</v>
      </c>
      <c r="AP507" t="s">
        <v>997</v>
      </c>
      <c r="AQ507" t="s">
        <v>998</v>
      </c>
      <c r="AR507" t="s">
        <v>999</v>
      </c>
      <c r="AS507" t="s">
        <v>1000</v>
      </c>
      <c r="AT507" s="1">
        <v>44462</v>
      </c>
      <c r="AU507" s="1">
        <v>44470</v>
      </c>
    </row>
    <row r="508" spans="1:47" x14ac:dyDescent="0.3">
      <c r="A508" t="s">
        <v>246</v>
      </c>
      <c r="B508" t="s">
        <v>182</v>
      </c>
      <c r="C508" t="s">
        <v>183</v>
      </c>
      <c r="D508">
        <v>636</v>
      </c>
      <c r="E508" t="s">
        <v>910</v>
      </c>
      <c r="F508" t="s">
        <v>911</v>
      </c>
      <c r="G508" t="s">
        <v>912</v>
      </c>
      <c r="H508" t="s">
        <v>994</v>
      </c>
      <c r="I508" t="s">
        <v>54</v>
      </c>
      <c r="J508" t="s">
        <v>995</v>
      </c>
      <c r="K508" t="s">
        <v>56</v>
      </c>
      <c r="L508">
        <v>0</v>
      </c>
      <c r="M508" t="s">
        <v>73</v>
      </c>
      <c r="N508">
        <v>0</v>
      </c>
      <c r="O508" t="s">
        <v>58</v>
      </c>
      <c r="P508" t="s">
        <v>59</v>
      </c>
      <c r="Q508" t="s">
        <v>60</v>
      </c>
      <c r="R508" t="s">
        <v>995</v>
      </c>
      <c r="S508" s="1">
        <v>44460</v>
      </c>
      <c r="T508" s="1">
        <v>44460</v>
      </c>
      <c r="U508">
        <v>37501</v>
      </c>
      <c r="V508" t="s">
        <v>61</v>
      </c>
      <c r="W508" t="s">
        <v>996</v>
      </c>
      <c r="X508" s="1">
        <v>44461</v>
      </c>
      <c r="Y508" t="s">
        <v>63</v>
      </c>
      <c r="Z508">
        <v>96.55</v>
      </c>
      <c r="AA508">
        <v>16</v>
      </c>
      <c r="AB508">
        <v>15.45</v>
      </c>
      <c r="AC508">
        <v>0</v>
      </c>
      <c r="AD508">
        <v>112</v>
      </c>
      <c r="AE508">
        <v>457.5</v>
      </c>
      <c r="AF508">
        <v>545</v>
      </c>
      <c r="AG508" t="s">
        <v>916</v>
      </c>
      <c r="AH508" t="s">
        <v>65</v>
      </c>
      <c r="AI508" t="s">
        <v>65</v>
      </c>
      <c r="AJ508" t="s">
        <v>66</v>
      </c>
      <c r="AK508" t="s">
        <v>66</v>
      </c>
      <c r="AL508" t="s">
        <v>66</v>
      </c>
      <c r="AM508" s="2" t="str">
        <f>HYPERLINK("https://transparencia.cidesi.mx/comprobantes/2021/CQ2100857 /C2FACTURA_9224720411078586280336.pdf")</f>
        <v>https://transparencia.cidesi.mx/comprobantes/2021/CQ2100857 /C2FACTURA_9224720411078586280336.pdf</v>
      </c>
      <c r="AN508" t="str">
        <f>HYPERLINK("https://transparencia.cidesi.mx/comprobantes/2021/CQ2100857 /C2FACTURA_9224720411078586280336.pdf")</f>
        <v>https://transparencia.cidesi.mx/comprobantes/2021/CQ2100857 /C2FACTURA_9224720411078586280336.pdf</v>
      </c>
      <c r="AO508" t="str">
        <f>HYPERLINK("https://transparencia.cidesi.mx/comprobantes/2021/CQ2100857 /C2FACTURA_164_537_558_922_202109211022172474846150953555054018.xml")</f>
        <v>https://transparencia.cidesi.mx/comprobantes/2021/CQ2100857 /C2FACTURA_164_537_558_922_202109211022172474846150953555054018.xml</v>
      </c>
      <c r="AP508" t="s">
        <v>997</v>
      </c>
      <c r="AQ508" t="s">
        <v>998</v>
      </c>
      <c r="AR508" t="s">
        <v>999</v>
      </c>
      <c r="AS508" t="s">
        <v>1000</v>
      </c>
      <c r="AT508" s="1">
        <v>44462</v>
      </c>
      <c r="AU508" s="1">
        <v>44470</v>
      </c>
    </row>
    <row r="509" spans="1:47" x14ac:dyDescent="0.3">
      <c r="A509" t="s">
        <v>246</v>
      </c>
      <c r="B509" t="s">
        <v>182</v>
      </c>
      <c r="C509" t="s">
        <v>183</v>
      </c>
      <c r="D509">
        <v>636</v>
      </c>
      <c r="E509" t="s">
        <v>910</v>
      </c>
      <c r="F509" t="s">
        <v>911</v>
      </c>
      <c r="G509" t="s">
        <v>912</v>
      </c>
      <c r="H509" t="s">
        <v>994</v>
      </c>
      <c r="I509" t="s">
        <v>54</v>
      </c>
      <c r="J509" t="s">
        <v>995</v>
      </c>
      <c r="K509" t="s">
        <v>56</v>
      </c>
      <c r="L509">
        <v>0</v>
      </c>
      <c r="M509" t="s">
        <v>73</v>
      </c>
      <c r="N509">
        <v>0</v>
      </c>
      <c r="O509" t="s">
        <v>58</v>
      </c>
      <c r="P509" t="s">
        <v>59</v>
      </c>
      <c r="Q509" t="s">
        <v>60</v>
      </c>
      <c r="R509" t="s">
        <v>995</v>
      </c>
      <c r="S509" s="1">
        <v>44460</v>
      </c>
      <c r="T509" s="1">
        <v>44460</v>
      </c>
      <c r="U509">
        <v>37501</v>
      </c>
      <c r="V509" t="s">
        <v>61</v>
      </c>
      <c r="W509" t="s">
        <v>996</v>
      </c>
      <c r="X509" s="1">
        <v>44461</v>
      </c>
      <c r="Y509" t="s">
        <v>63</v>
      </c>
      <c r="Z509">
        <v>116.38</v>
      </c>
      <c r="AA509">
        <v>16</v>
      </c>
      <c r="AB509">
        <v>18.62</v>
      </c>
      <c r="AC509">
        <v>0</v>
      </c>
      <c r="AD509">
        <v>135</v>
      </c>
      <c r="AE509">
        <v>457.5</v>
      </c>
      <c r="AF509">
        <v>545</v>
      </c>
      <c r="AG509" t="s">
        <v>916</v>
      </c>
      <c r="AH509" t="s">
        <v>65</v>
      </c>
      <c r="AI509" t="s">
        <v>65</v>
      </c>
      <c r="AJ509" t="s">
        <v>66</v>
      </c>
      <c r="AK509" t="s">
        <v>66</v>
      </c>
      <c r="AL509" t="s">
        <v>66</v>
      </c>
      <c r="AM509" s="2" t="str">
        <f>HYPERLINK("https://transparencia.cidesi.mx/comprobantes/2021/CQ2100857 /C3CID840309UG7_F_0000033231.pdf")</f>
        <v>https://transparencia.cidesi.mx/comprobantes/2021/CQ2100857 /C3CID840309UG7_F_0000033231.pdf</v>
      </c>
      <c r="AN509" t="str">
        <f>HYPERLINK("https://transparencia.cidesi.mx/comprobantes/2021/CQ2100857 /C3CID840309UG7_F_0000033231.pdf")</f>
        <v>https://transparencia.cidesi.mx/comprobantes/2021/CQ2100857 /C3CID840309UG7_F_0000033231.pdf</v>
      </c>
      <c r="AO509" t="str">
        <f>HYPERLINK("https://transparencia.cidesi.mx/comprobantes/2021/CQ2100857 /C3CID840309UG7_F_0000033231.xml")</f>
        <v>https://transparencia.cidesi.mx/comprobantes/2021/CQ2100857 /C3CID840309UG7_F_0000033231.xml</v>
      </c>
      <c r="AP509" t="s">
        <v>997</v>
      </c>
      <c r="AQ509" t="s">
        <v>998</v>
      </c>
      <c r="AR509" t="s">
        <v>999</v>
      </c>
      <c r="AS509" t="s">
        <v>1000</v>
      </c>
      <c r="AT509" s="1">
        <v>44462</v>
      </c>
      <c r="AU509" s="1">
        <v>44470</v>
      </c>
    </row>
    <row r="510" spans="1:47" x14ac:dyDescent="0.3">
      <c r="A510" t="s">
        <v>246</v>
      </c>
      <c r="B510" t="s">
        <v>182</v>
      </c>
      <c r="C510" t="s">
        <v>183</v>
      </c>
      <c r="D510">
        <v>636</v>
      </c>
      <c r="E510" t="s">
        <v>910</v>
      </c>
      <c r="F510" t="s">
        <v>911</v>
      </c>
      <c r="G510" t="s">
        <v>912</v>
      </c>
      <c r="H510" t="s">
        <v>994</v>
      </c>
      <c r="I510" t="s">
        <v>54</v>
      </c>
      <c r="J510" t="s">
        <v>995</v>
      </c>
      <c r="K510" t="s">
        <v>56</v>
      </c>
      <c r="L510">
        <v>0</v>
      </c>
      <c r="M510" t="s">
        <v>73</v>
      </c>
      <c r="N510">
        <v>0</v>
      </c>
      <c r="O510" t="s">
        <v>58</v>
      </c>
      <c r="P510" t="s">
        <v>59</v>
      </c>
      <c r="Q510" t="s">
        <v>60</v>
      </c>
      <c r="R510" t="s">
        <v>995</v>
      </c>
      <c r="S510" s="1">
        <v>44460</v>
      </c>
      <c r="T510" s="1">
        <v>44460</v>
      </c>
      <c r="U510">
        <v>37501</v>
      </c>
      <c r="V510" t="s">
        <v>61</v>
      </c>
      <c r="W510" t="s">
        <v>996</v>
      </c>
      <c r="X510" s="1">
        <v>44461</v>
      </c>
      <c r="Y510" t="s">
        <v>63</v>
      </c>
      <c r="Z510">
        <v>125</v>
      </c>
      <c r="AA510">
        <v>0</v>
      </c>
      <c r="AB510">
        <v>0</v>
      </c>
      <c r="AC510">
        <v>0</v>
      </c>
      <c r="AD510">
        <v>125</v>
      </c>
      <c r="AE510">
        <v>457.5</v>
      </c>
      <c r="AF510">
        <v>545</v>
      </c>
      <c r="AG510" t="s">
        <v>916</v>
      </c>
      <c r="AH510" t="s">
        <v>65</v>
      </c>
      <c r="AI510" t="s">
        <v>66</v>
      </c>
      <c r="AJ510" t="s">
        <v>66</v>
      </c>
      <c r="AK510" t="s">
        <v>66</v>
      </c>
      <c r="AL510" t="s">
        <v>66</v>
      </c>
      <c r="AM510" s="2" t="s">
        <v>73</v>
      </c>
      <c r="AN510" t="s">
        <v>73</v>
      </c>
      <c r="AO510" t="s">
        <v>73</v>
      </c>
      <c r="AP510" t="s">
        <v>997</v>
      </c>
      <c r="AQ510" t="s">
        <v>998</v>
      </c>
      <c r="AR510" t="s">
        <v>999</v>
      </c>
      <c r="AS510" t="s">
        <v>1000</v>
      </c>
      <c r="AT510" s="1">
        <v>44462</v>
      </c>
      <c r="AU510" s="1">
        <v>44470</v>
      </c>
    </row>
    <row r="511" spans="1:47" x14ac:dyDescent="0.3">
      <c r="A511" t="s">
        <v>246</v>
      </c>
      <c r="B511" t="s">
        <v>182</v>
      </c>
      <c r="C511" t="s">
        <v>183</v>
      </c>
      <c r="D511">
        <v>636</v>
      </c>
      <c r="E511" t="s">
        <v>910</v>
      </c>
      <c r="F511" t="s">
        <v>911</v>
      </c>
      <c r="G511" t="s">
        <v>912</v>
      </c>
      <c r="H511" t="s">
        <v>1001</v>
      </c>
      <c r="I511" t="s">
        <v>54</v>
      </c>
      <c r="J511" t="s">
        <v>1002</v>
      </c>
      <c r="K511" t="s">
        <v>56</v>
      </c>
      <c r="L511">
        <v>0</v>
      </c>
      <c r="M511" t="s">
        <v>73</v>
      </c>
      <c r="N511">
        <v>0</v>
      </c>
      <c r="O511" t="s">
        <v>58</v>
      </c>
      <c r="P511" t="s">
        <v>59</v>
      </c>
      <c r="Q511" t="s">
        <v>1003</v>
      </c>
      <c r="R511" t="s">
        <v>1002</v>
      </c>
      <c r="S511" s="1">
        <v>44465</v>
      </c>
      <c r="T511" s="1">
        <v>44469</v>
      </c>
      <c r="U511">
        <v>37501</v>
      </c>
      <c r="V511" t="s">
        <v>104</v>
      </c>
      <c r="W511" t="s">
        <v>1004</v>
      </c>
      <c r="X511" s="1">
        <v>44470</v>
      </c>
      <c r="Y511" t="s">
        <v>207</v>
      </c>
      <c r="Z511">
        <v>529.66</v>
      </c>
      <c r="AA511">
        <v>16</v>
      </c>
      <c r="AB511">
        <v>84.75</v>
      </c>
      <c r="AC511">
        <v>10.59</v>
      </c>
      <c r="AD511">
        <v>625</v>
      </c>
      <c r="AE511">
        <v>4939.2</v>
      </c>
      <c r="AF511">
        <v>4909</v>
      </c>
      <c r="AG511" t="s">
        <v>966</v>
      </c>
      <c r="AH511" t="s">
        <v>65</v>
      </c>
      <c r="AI511" t="s">
        <v>65</v>
      </c>
      <c r="AJ511" t="s">
        <v>66</v>
      </c>
      <c r="AK511" t="s">
        <v>66</v>
      </c>
      <c r="AL511" t="s">
        <v>66</v>
      </c>
      <c r="AM511" s="2" t="str">
        <f>HYPERLINK("https://transparencia.cidesi.mx/comprobantes/2021/CQ2100922 /C1A36811.pdf")</f>
        <v>https://transparencia.cidesi.mx/comprobantes/2021/CQ2100922 /C1A36811.pdf</v>
      </c>
      <c r="AN511" t="str">
        <f>HYPERLINK("https://transparencia.cidesi.mx/comprobantes/2021/CQ2100922 /C1A36811.pdf")</f>
        <v>https://transparencia.cidesi.mx/comprobantes/2021/CQ2100922 /C1A36811.pdf</v>
      </c>
      <c r="AO511" t="str">
        <f>HYPERLINK("https://transparencia.cidesi.mx/comprobantes/2021/CQ2100922 /C1A36811.xml")</f>
        <v>https://transparencia.cidesi.mx/comprobantes/2021/CQ2100922 /C1A36811.xml</v>
      </c>
      <c r="AP511" t="s">
        <v>1005</v>
      </c>
      <c r="AQ511" t="s">
        <v>1006</v>
      </c>
      <c r="AR511" t="s">
        <v>1007</v>
      </c>
      <c r="AS511" t="s">
        <v>1008</v>
      </c>
      <c r="AT511" s="1">
        <v>44474</v>
      </c>
      <c r="AU511" t="s">
        <v>73</v>
      </c>
    </row>
    <row r="512" spans="1:47" x14ac:dyDescent="0.3">
      <c r="A512" t="s">
        <v>246</v>
      </c>
      <c r="B512" t="s">
        <v>182</v>
      </c>
      <c r="C512" t="s">
        <v>183</v>
      </c>
      <c r="D512">
        <v>636</v>
      </c>
      <c r="E512" t="s">
        <v>910</v>
      </c>
      <c r="F512" t="s">
        <v>911</v>
      </c>
      <c r="G512" t="s">
        <v>912</v>
      </c>
      <c r="H512" t="s">
        <v>1001</v>
      </c>
      <c r="I512" t="s">
        <v>54</v>
      </c>
      <c r="J512" t="s">
        <v>1002</v>
      </c>
      <c r="K512" t="s">
        <v>56</v>
      </c>
      <c r="L512">
        <v>0</v>
      </c>
      <c r="M512" t="s">
        <v>73</v>
      </c>
      <c r="N512">
        <v>0</v>
      </c>
      <c r="O512" t="s">
        <v>58</v>
      </c>
      <c r="P512" t="s">
        <v>59</v>
      </c>
      <c r="Q512" t="s">
        <v>1003</v>
      </c>
      <c r="R512" t="s">
        <v>1002</v>
      </c>
      <c r="S512" s="1">
        <v>44465</v>
      </c>
      <c r="T512" s="1">
        <v>44469</v>
      </c>
      <c r="U512">
        <v>37501</v>
      </c>
      <c r="V512" t="s">
        <v>61</v>
      </c>
      <c r="W512" t="s">
        <v>1004</v>
      </c>
      <c r="X512" s="1">
        <v>44470</v>
      </c>
      <c r="Y512" t="s">
        <v>207</v>
      </c>
      <c r="Z512">
        <v>125</v>
      </c>
      <c r="AA512">
        <v>16</v>
      </c>
      <c r="AB512">
        <v>20</v>
      </c>
      <c r="AC512">
        <v>0</v>
      </c>
      <c r="AD512">
        <v>145</v>
      </c>
      <c r="AE512">
        <v>4939.2</v>
      </c>
      <c r="AF512">
        <v>4909</v>
      </c>
      <c r="AG512" t="s">
        <v>916</v>
      </c>
      <c r="AH512" t="s">
        <v>65</v>
      </c>
      <c r="AI512" t="s">
        <v>65</v>
      </c>
      <c r="AJ512" t="s">
        <v>66</v>
      </c>
      <c r="AK512" t="s">
        <v>66</v>
      </c>
      <c r="AL512" t="s">
        <v>66</v>
      </c>
      <c r="AM512" s="2" t="str">
        <f>HYPERLINK("https://transparencia.cidesi.mx/comprobantes/2021/CQ2100922 /C2B16356.pdf")</f>
        <v>https://transparencia.cidesi.mx/comprobantes/2021/CQ2100922 /C2B16356.pdf</v>
      </c>
      <c r="AN512" t="str">
        <f>HYPERLINK("https://transparencia.cidesi.mx/comprobantes/2021/CQ2100922 /C2B16356.pdf")</f>
        <v>https://transparencia.cidesi.mx/comprobantes/2021/CQ2100922 /C2B16356.pdf</v>
      </c>
      <c r="AO512" t="str">
        <f>HYPERLINK("https://transparencia.cidesi.mx/comprobantes/2021/CQ2100922 /C2B16356.xml")</f>
        <v>https://transparencia.cidesi.mx/comprobantes/2021/CQ2100922 /C2B16356.xml</v>
      </c>
      <c r="AP512" t="s">
        <v>1005</v>
      </c>
      <c r="AQ512" t="s">
        <v>1006</v>
      </c>
      <c r="AR512" t="s">
        <v>1007</v>
      </c>
      <c r="AS512" t="s">
        <v>1008</v>
      </c>
      <c r="AT512" s="1">
        <v>44474</v>
      </c>
      <c r="AU512" t="s">
        <v>73</v>
      </c>
    </row>
    <row r="513" spans="1:47" x14ac:dyDescent="0.3">
      <c r="A513" t="s">
        <v>246</v>
      </c>
      <c r="B513" t="s">
        <v>182</v>
      </c>
      <c r="C513" t="s">
        <v>183</v>
      </c>
      <c r="D513">
        <v>636</v>
      </c>
      <c r="E513" t="s">
        <v>910</v>
      </c>
      <c r="F513" t="s">
        <v>911</v>
      </c>
      <c r="G513" t="s">
        <v>912</v>
      </c>
      <c r="H513" t="s">
        <v>1001</v>
      </c>
      <c r="I513" t="s">
        <v>54</v>
      </c>
      <c r="J513" t="s">
        <v>1002</v>
      </c>
      <c r="K513" t="s">
        <v>56</v>
      </c>
      <c r="L513">
        <v>0</v>
      </c>
      <c r="M513" t="s">
        <v>73</v>
      </c>
      <c r="N513">
        <v>0</v>
      </c>
      <c r="O513" t="s">
        <v>58</v>
      </c>
      <c r="P513" t="s">
        <v>59</v>
      </c>
      <c r="Q513" t="s">
        <v>1003</v>
      </c>
      <c r="R513" t="s">
        <v>1002</v>
      </c>
      <c r="S513" s="1">
        <v>44465</v>
      </c>
      <c r="T513" s="1">
        <v>44469</v>
      </c>
      <c r="U513">
        <v>37501</v>
      </c>
      <c r="V513" t="s">
        <v>61</v>
      </c>
      <c r="W513" t="s">
        <v>1004</v>
      </c>
      <c r="X513" s="1">
        <v>44470</v>
      </c>
      <c r="Y513" t="s">
        <v>207</v>
      </c>
      <c r="Z513">
        <v>52.83</v>
      </c>
      <c r="AA513">
        <v>16</v>
      </c>
      <c r="AB513">
        <v>0.67</v>
      </c>
      <c r="AC513">
        <v>0</v>
      </c>
      <c r="AD513">
        <v>53.5</v>
      </c>
      <c r="AE513">
        <v>4939.2</v>
      </c>
      <c r="AF513">
        <v>4909</v>
      </c>
      <c r="AG513" t="s">
        <v>916</v>
      </c>
      <c r="AH513" t="s">
        <v>65</v>
      </c>
      <c r="AI513" t="s">
        <v>65</v>
      </c>
      <c r="AJ513" t="s">
        <v>66</v>
      </c>
      <c r="AK513" t="s">
        <v>66</v>
      </c>
      <c r="AL513" t="s">
        <v>66</v>
      </c>
      <c r="AM513" s="2" t="str">
        <f>HYPERLINK("https://transparencia.cidesi.mx/comprobantes/2021/CQ2100922 /C3FACTURA_1632926647916_346539217.pdf")</f>
        <v>https://transparencia.cidesi.mx/comprobantes/2021/CQ2100922 /C3FACTURA_1632926647916_346539217.pdf</v>
      </c>
      <c r="AN513" t="str">
        <f>HYPERLINK("https://transparencia.cidesi.mx/comprobantes/2021/CQ2100922 /C3FACTURA_1632926647916_346539217.pdf")</f>
        <v>https://transparencia.cidesi.mx/comprobantes/2021/CQ2100922 /C3FACTURA_1632926647916_346539217.pdf</v>
      </c>
      <c r="AO513" t="str">
        <f>HYPERLINK("https://transparencia.cidesi.mx/comprobantes/2021/CQ2100922 /C3FACTURA_1632926647916_346539217.xml")</f>
        <v>https://transparencia.cidesi.mx/comprobantes/2021/CQ2100922 /C3FACTURA_1632926647916_346539217.xml</v>
      </c>
      <c r="AP513" t="s">
        <v>1005</v>
      </c>
      <c r="AQ513" t="s">
        <v>1006</v>
      </c>
      <c r="AR513" t="s">
        <v>1007</v>
      </c>
      <c r="AS513" t="s">
        <v>1008</v>
      </c>
      <c r="AT513" s="1">
        <v>44474</v>
      </c>
      <c r="AU513" t="s">
        <v>73</v>
      </c>
    </row>
    <row r="514" spans="1:47" x14ac:dyDescent="0.3">
      <c r="A514" t="s">
        <v>246</v>
      </c>
      <c r="B514" t="s">
        <v>182</v>
      </c>
      <c r="C514" t="s">
        <v>183</v>
      </c>
      <c r="D514">
        <v>636</v>
      </c>
      <c r="E514" t="s">
        <v>910</v>
      </c>
      <c r="F514" t="s">
        <v>911</v>
      </c>
      <c r="G514" t="s">
        <v>912</v>
      </c>
      <c r="H514" t="s">
        <v>1001</v>
      </c>
      <c r="I514" t="s">
        <v>54</v>
      </c>
      <c r="J514" t="s">
        <v>1002</v>
      </c>
      <c r="K514" t="s">
        <v>56</v>
      </c>
      <c r="L514">
        <v>0</v>
      </c>
      <c r="M514" t="s">
        <v>73</v>
      </c>
      <c r="N514">
        <v>0</v>
      </c>
      <c r="O514" t="s">
        <v>58</v>
      </c>
      <c r="P514" t="s">
        <v>59</v>
      </c>
      <c r="Q514" t="s">
        <v>1003</v>
      </c>
      <c r="R514" t="s">
        <v>1002</v>
      </c>
      <c r="S514" s="1">
        <v>44465</v>
      </c>
      <c r="T514" s="1">
        <v>44469</v>
      </c>
      <c r="U514">
        <v>37501</v>
      </c>
      <c r="V514" t="s">
        <v>61</v>
      </c>
      <c r="W514" t="s">
        <v>1004</v>
      </c>
      <c r="X514" s="1">
        <v>44470</v>
      </c>
      <c r="Y514" t="s">
        <v>207</v>
      </c>
      <c r="Z514">
        <v>58.63</v>
      </c>
      <c r="AA514">
        <v>16</v>
      </c>
      <c r="AB514">
        <v>1.72</v>
      </c>
      <c r="AC514">
        <v>1.1499999999999999</v>
      </c>
      <c r="AD514">
        <v>61.5</v>
      </c>
      <c r="AE514">
        <v>4939.2</v>
      </c>
      <c r="AF514">
        <v>4909</v>
      </c>
      <c r="AG514" t="s">
        <v>916</v>
      </c>
      <c r="AH514" t="s">
        <v>65</v>
      </c>
      <c r="AI514" t="s">
        <v>65</v>
      </c>
      <c r="AJ514" t="s">
        <v>66</v>
      </c>
      <c r="AK514" t="s">
        <v>66</v>
      </c>
      <c r="AL514" t="s">
        <v>66</v>
      </c>
      <c r="AM514" s="2" t="str">
        <f>HYPERLINK("https://transparencia.cidesi.mx/comprobantes/2021/CQ2100922 /C4FACTURA_1632926013806_346536393.pdf")</f>
        <v>https://transparencia.cidesi.mx/comprobantes/2021/CQ2100922 /C4FACTURA_1632926013806_346536393.pdf</v>
      </c>
      <c r="AN514" t="str">
        <f>HYPERLINK("https://transparencia.cidesi.mx/comprobantes/2021/CQ2100922 /C4FACTURA_1632926013806_346536393.pdf")</f>
        <v>https://transparencia.cidesi.mx/comprobantes/2021/CQ2100922 /C4FACTURA_1632926013806_346536393.pdf</v>
      </c>
      <c r="AO514" t="str">
        <f>HYPERLINK("https://transparencia.cidesi.mx/comprobantes/2021/CQ2100922 /C4FACTURA_1632926013806_346536393.xml")</f>
        <v>https://transparencia.cidesi.mx/comprobantes/2021/CQ2100922 /C4FACTURA_1632926013806_346536393.xml</v>
      </c>
      <c r="AP514" t="s">
        <v>1005</v>
      </c>
      <c r="AQ514" t="s">
        <v>1006</v>
      </c>
      <c r="AR514" t="s">
        <v>1007</v>
      </c>
      <c r="AS514" t="s">
        <v>1008</v>
      </c>
      <c r="AT514" s="1">
        <v>44474</v>
      </c>
      <c r="AU514" t="s">
        <v>73</v>
      </c>
    </row>
    <row r="515" spans="1:47" x14ac:dyDescent="0.3">
      <c r="A515" t="s">
        <v>246</v>
      </c>
      <c r="B515" t="s">
        <v>182</v>
      </c>
      <c r="C515" t="s">
        <v>183</v>
      </c>
      <c r="D515">
        <v>636</v>
      </c>
      <c r="E515" t="s">
        <v>910</v>
      </c>
      <c r="F515" t="s">
        <v>911</v>
      </c>
      <c r="G515" t="s">
        <v>912</v>
      </c>
      <c r="H515" t="s">
        <v>1001</v>
      </c>
      <c r="I515" t="s">
        <v>54</v>
      </c>
      <c r="J515" t="s">
        <v>1002</v>
      </c>
      <c r="K515" t="s">
        <v>56</v>
      </c>
      <c r="L515">
        <v>0</v>
      </c>
      <c r="M515" t="s">
        <v>73</v>
      </c>
      <c r="N515">
        <v>0</v>
      </c>
      <c r="O515" t="s">
        <v>58</v>
      </c>
      <c r="P515" t="s">
        <v>59</v>
      </c>
      <c r="Q515" t="s">
        <v>1003</v>
      </c>
      <c r="R515" t="s">
        <v>1002</v>
      </c>
      <c r="S515" s="1">
        <v>44465</v>
      </c>
      <c r="T515" s="1">
        <v>44469</v>
      </c>
      <c r="U515">
        <v>37501</v>
      </c>
      <c r="V515" t="s">
        <v>61</v>
      </c>
      <c r="W515" t="s">
        <v>1004</v>
      </c>
      <c r="X515" s="1">
        <v>44470</v>
      </c>
      <c r="Y515" t="s">
        <v>207</v>
      </c>
      <c r="Z515">
        <v>126.76</v>
      </c>
      <c r="AA515">
        <v>16</v>
      </c>
      <c r="AB515">
        <v>13.24</v>
      </c>
      <c r="AC515">
        <v>0</v>
      </c>
      <c r="AD515">
        <v>140</v>
      </c>
      <c r="AE515">
        <v>4939.2</v>
      </c>
      <c r="AF515">
        <v>4909</v>
      </c>
      <c r="AG515" t="s">
        <v>916</v>
      </c>
      <c r="AH515" t="s">
        <v>65</v>
      </c>
      <c r="AI515" t="s">
        <v>65</v>
      </c>
      <c r="AJ515" t="s">
        <v>66</v>
      </c>
      <c r="AK515" t="s">
        <v>66</v>
      </c>
      <c r="AL515" t="s">
        <v>66</v>
      </c>
      <c r="AM515" s="2" t="str">
        <f>HYPERLINK("https://transparencia.cidesi.mx/comprobantes/2021/CQ2100922 /C5FACTURA_1632926333465_346537731.pdf")</f>
        <v>https://transparencia.cidesi.mx/comprobantes/2021/CQ2100922 /C5FACTURA_1632926333465_346537731.pdf</v>
      </c>
      <c r="AN515" t="str">
        <f>HYPERLINK("https://transparencia.cidesi.mx/comprobantes/2021/CQ2100922 /C5FACTURA_1632926333465_346537731.pdf")</f>
        <v>https://transparencia.cidesi.mx/comprobantes/2021/CQ2100922 /C5FACTURA_1632926333465_346537731.pdf</v>
      </c>
      <c r="AO515" t="str">
        <f>HYPERLINK("https://transparencia.cidesi.mx/comprobantes/2021/CQ2100922 /C5FACTURA_1632926333465_346537731.xml")</f>
        <v>https://transparencia.cidesi.mx/comprobantes/2021/CQ2100922 /C5FACTURA_1632926333465_346537731.xml</v>
      </c>
      <c r="AP515" t="s">
        <v>1005</v>
      </c>
      <c r="AQ515" t="s">
        <v>1006</v>
      </c>
      <c r="AR515" t="s">
        <v>1007</v>
      </c>
      <c r="AS515" t="s">
        <v>1008</v>
      </c>
      <c r="AT515" s="1">
        <v>44474</v>
      </c>
      <c r="AU515" t="s">
        <v>73</v>
      </c>
    </row>
    <row r="516" spans="1:47" x14ac:dyDescent="0.3">
      <c r="A516" t="s">
        <v>246</v>
      </c>
      <c r="B516" t="s">
        <v>182</v>
      </c>
      <c r="C516" t="s">
        <v>183</v>
      </c>
      <c r="D516">
        <v>636</v>
      </c>
      <c r="E516" t="s">
        <v>910</v>
      </c>
      <c r="F516" t="s">
        <v>911</v>
      </c>
      <c r="G516" t="s">
        <v>912</v>
      </c>
      <c r="H516" t="s">
        <v>1001</v>
      </c>
      <c r="I516" t="s">
        <v>54</v>
      </c>
      <c r="J516" t="s">
        <v>1002</v>
      </c>
      <c r="K516" t="s">
        <v>56</v>
      </c>
      <c r="L516">
        <v>0</v>
      </c>
      <c r="M516" t="s">
        <v>73</v>
      </c>
      <c r="N516">
        <v>0</v>
      </c>
      <c r="O516" t="s">
        <v>58</v>
      </c>
      <c r="P516" t="s">
        <v>59</v>
      </c>
      <c r="Q516" t="s">
        <v>1003</v>
      </c>
      <c r="R516" t="s">
        <v>1002</v>
      </c>
      <c r="S516" s="1">
        <v>44465</v>
      </c>
      <c r="T516" s="1">
        <v>44469</v>
      </c>
      <c r="U516">
        <v>37501</v>
      </c>
      <c r="V516" t="s">
        <v>104</v>
      </c>
      <c r="W516" t="s">
        <v>1004</v>
      </c>
      <c r="X516" s="1">
        <v>44470</v>
      </c>
      <c r="Y516" t="s">
        <v>207</v>
      </c>
      <c r="Z516">
        <v>677.12</v>
      </c>
      <c r="AA516">
        <v>16</v>
      </c>
      <c r="AB516">
        <v>108.34</v>
      </c>
      <c r="AC516">
        <v>13.54</v>
      </c>
      <c r="AD516">
        <v>799</v>
      </c>
      <c r="AE516">
        <v>4939.2</v>
      </c>
      <c r="AF516">
        <v>4909</v>
      </c>
      <c r="AG516" t="s">
        <v>966</v>
      </c>
      <c r="AH516" t="s">
        <v>65</v>
      </c>
      <c r="AI516" t="s">
        <v>65</v>
      </c>
      <c r="AJ516" t="s">
        <v>66</v>
      </c>
      <c r="AK516" t="s">
        <v>66</v>
      </c>
      <c r="AL516" t="s">
        <v>66</v>
      </c>
      <c r="AM516" s="2" t="str">
        <f>HYPERLINK("https://transparencia.cidesi.mx/comprobantes/2021/CQ2100922 /C6CID840309UG7_3562_BWA_F179A8AD-56A6-40C2-8A11-5999D71AD2F6.pdf")</f>
        <v>https://transparencia.cidesi.mx/comprobantes/2021/CQ2100922 /C6CID840309UG7_3562_BWA_F179A8AD-56A6-40C2-8A11-5999D71AD2F6.pdf</v>
      </c>
      <c r="AN516" t="str">
        <f>HYPERLINK("https://transparencia.cidesi.mx/comprobantes/2021/CQ2100922 /C6CID840309UG7_3562_BWA_F179A8AD-56A6-40C2-8A11-5999D71AD2F6.pdf")</f>
        <v>https://transparencia.cidesi.mx/comprobantes/2021/CQ2100922 /C6CID840309UG7_3562_BWA_F179A8AD-56A6-40C2-8A11-5999D71AD2F6.pdf</v>
      </c>
      <c r="AO516" t="str">
        <f>HYPERLINK("https://transparencia.cidesi.mx/comprobantes/2021/CQ2100922 /C6CID840309UG7_3562_BWA_F179A8AD-56A6-40C2-8A11-5999D71AD2F6.xml")</f>
        <v>https://transparencia.cidesi.mx/comprobantes/2021/CQ2100922 /C6CID840309UG7_3562_BWA_F179A8AD-56A6-40C2-8A11-5999D71AD2F6.xml</v>
      </c>
      <c r="AP516" t="s">
        <v>1005</v>
      </c>
      <c r="AQ516" t="s">
        <v>1006</v>
      </c>
      <c r="AR516" t="s">
        <v>1007</v>
      </c>
      <c r="AS516" t="s">
        <v>1008</v>
      </c>
      <c r="AT516" s="1">
        <v>44474</v>
      </c>
      <c r="AU516" t="s">
        <v>73</v>
      </c>
    </row>
    <row r="517" spans="1:47" x14ac:dyDescent="0.3">
      <c r="A517" t="s">
        <v>246</v>
      </c>
      <c r="B517" t="s">
        <v>182</v>
      </c>
      <c r="C517" t="s">
        <v>183</v>
      </c>
      <c r="D517">
        <v>636</v>
      </c>
      <c r="E517" t="s">
        <v>910</v>
      </c>
      <c r="F517" t="s">
        <v>911</v>
      </c>
      <c r="G517" t="s">
        <v>912</v>
      </c>
      <c r="H517" t="s">
        <v>1001</v>
      </c>
      <c r="I517" t="s">
        <v>54</v>
      </c>
      <c r="J517" t="s">
        <v>1002</v>
      </c>
      <c r="K517" t="s">
        <v>56</v>
      </c>
      <c r="L517">
        <v>0</v>
      </c>
      <c r="M517" t="s">
        <v>73</v>
      </c>
      <c r="N517">
        <v>0</v>
      </c>
      <c r="O517" t="s">
        <v>58</v>
      </c>
      <c r="P517" t="s">
        <v>59</v>
      </c>
      <c r="Q517" t="s">
        <v>1003</v>
      </c>
      <c r="R517" t="s">
        <v>1002</v>
      </c>
      <c r="S517" s="1">
        <v>44465</v>
      </c>
      <c r="T517" s="1">
        <v>44469</v>
      </c>
      <c r="U517">
        <v>37501</v>
      </c>
      <c r="V517" t="s">
        <v>61</v>
      </c>
      <c r="W517" t="s">
        <v>1004</v>
      </c>
      <c r="X517" s="1">
        <v>44470</v>
      </c>
      <c r="Y517" t="s">
        <v>207</v>
      </c>
      <c r="Z517">
        <v>197.41</v>
      </c>
      <c r="AA517">
        <v>16</v>
      </c>
      <c r="AB517">
        <v>31.59</v>
      </c>
      <c r="AC517">
        <v>0</v>
      </c>
      <c r="AD517">
        <v>229</v>
      </c>
      <c r="AE517">
        <v>4939.2</v>
      </c>
      <c r="AF517">
        <v>4909</v>
      </c>
      <c r="AG517" t="s">
        <v>916</v>
      </c>
      <c r="AH517" t="s">
        <v>65</v>
      </c>
      <c r="AI517" t="s">
        <v>65</v>
      </c>
      <c r="AJ517" t="s">
        <v>66</v>
      </c>
      <c r="AK517" t="s">
        <v>66</v>
      </c>
      <c r="AL517" t="s">
        <v>66</v>
      </c>
      <c r="AM517" s="2" t="str">
        <f>HYPERLINK("https://transparencia.cidesi.mx/comprobantes/2021/CQ2100922 /C7963.pdf")</f>
        <v>https://transparencia.cidesi.mx/comprobantes/2021/CQ2100922 /C7963.pdf</v>
      </c>
      <c r="AN517" t="str">
        <f>HYPERLINK("https://transparencia.cidesi.mx/comprobantes/2021/CQ2100922 /C7963.pdf")</f>
        <v>https://transparencia.cidesi.mx/comprobantes/2021/CQ2100922 /C7963.pdf</v>
      </c>
      <c r="AO517" t="str">
        <f>HYPERLINK("https://transparencia.cidesi.mx/comprobantes/2021/CQ2100922 /C7963.xml")</f>
        <v>https://transparencia.cidesi.mx/comprobantes/2021/CQ2100922 /C7963.xml</v>
      </c>
      <c r="AP517" t="s">
        <v>1005</v>
      </c>
      <c r="AQ517" t="s">
        <v>1006</v>
      </c>
      <c r="AR517" t="s">
        <v>1007</v>
      </c>
      <c r="AS517" t="s">
        <v>1008</v>
      </c>
      <c r="AT517" s="1">
        <v>44474</v>
      </c>
      <c r="AU517" t="s">
        <v>73</v>
      </c>
    </row>
    <row r="518" spans="1:47" x14ac:dyDescent="0.3">
      <c r="A518" t="s">
        <v>246</v>
      </c>
      <c r="B518" t="s">
        <v>182</v>
      </c>
      <c r="C518" t="s">
        <v>183</v>
      </c>
      <c r="D518">
        <v>636</v>
      </c>
      <c r="E518" t="s">
        <v>910</v>
      </c>
      <c r="F518" t="s">
        <v>911</v>
      </c>
      <c r="G518" t="s">
        <v>912</v>
      </c>
      <c r="H518" t="s">
        <v>1001</v>
      </c>
      <c r="I518" t="s">
        <v>54</v>
      </c>
      <c r="J518" t="s">
        <v>1002</v>
      </c>
      <c r="K518" t="s">
        <v>56</v>
      </c>
      <c r="L518">
        <v>0</v>
      </c>
      <c r="M518" t="s">
        <v>73</v>
      </c>
      <c r="N518">
        <v>0</v>
      </c>
      <c r="O518" t="s">
        <v>58</v>
      </c>
      <c r="P518" t="s">
        <v>59</v>
      </c>
      <c r="Q518" t="s">
        <v>1003</v>
      </c>
      <c r="R518" t="s">
        <v>1002</v>
      </c>
      <c r="S518" s="1">
        <v>44465</v>
      </c>
      <c r="T518" s="1">
        <v>44469</v>
      </c>
      <c r="U518">
        <v>37501</v>
      </c>
      <c r="V518" t="s">
        <v>61</v>
      </c>
      <c r="W518" t="s">
        <v>1004</v>
      </c>
      <c r="X518" s="1">
        <v>44470</v>
      </c>
      <c r="Y518" t="s">
        <v>207</v>
      </c>
      <c r="Z518">
        <v>192.42</v>
      </c>
      <c r="AA518">
        <v>16</v>
      </c>
      <c r="AB518">
        <v>27.58</v>
      </c>
      <c r="AC518">
        <v>0</v>
      </c>
      <c r="AD518">
        <v>220</v>
      </c>
      <c r="AE518">
        <v>4939.2</v>
      </c>
      <c r="AF518">
        <v>4909</v>
      </c>
      <c r="AG518" t="s">
        <v>916</v>
      </c>
      <c r="AH518" t="s">
        <v>65</v>
      </c>
      <c r="AI518" t="s">
        <v>65</v>
      </c>
      <c r="AJ518" t="s">
        <v>66</v>
      </c>
      <c r="AK518" t="s">
        <v>66</v>
      </c>
      <c r="AL518" t="s">
        <v>66</v>
      </c>
      <c r="AM518" s="2" t="str">
        <f>HYPERLINK("https://transparencia.cidesi.mx/comprobantes/2021/CQ2100922 /C86FB6B7E1-0274-4BB2-A070-C7622BE2F80D.pdf")</f>
        <v>https://transparencia.cidesi.mx/comprobantes/2021/CQ2100922 /C86FB6B7E1-0274-4BB2-A070-C7622BE2F80D.pdf</v>
      </c>
      <c r="AN518" t="str">
        <f>HYPERLINK("https://transparencia.cidesi.mx/comprobantes/2021/CQ2100922 /C86FB6B7E1-0274-4BB2-A070-C7622BE2F80D.pdf")</f>
        <v>https://transparencia.cidesi.mx/comprobantes/2021/CQ2100922 /C86FB6B7E1-0274-4BB2-A070-C7622BE2F80D.pdf</v>
      </c>
      <c r="AO518" t="str">
        <f>HYPERLINK("https://transparencia.cidesi.mx/comprobantes/2021/CQ2100922 /C86FB6B7E1-0274-4BB2-A070-C7622BE2F80D.xml")</f>
        <v>https://transparencia.cidesi.mx/comprobantes/2021/CQ2100922 /C86FB6B7E1-0274-4BB2-A070-C7622BE2F80D.xml</v>
      </c>
      <c r="AP518" t="s">
        <v>1005</v>
      </c>
      <c r="AQ518" t="s">
        <v>1006</v>
      </c>
      <c r="AR518" t="s">
        <v>1007</v>
      </c>
      <c r="AS518" t="s">
        <v>1008</v>
      </c>
      <c r="AT518" s="1">
        <v>44474</v>
      </c>
      <c r="AU518" t="s">
        <v>73</v>
      </c>
    </row>
    <row r="519" spans="1:47" x14ac:dyDescent="0.3">
      <c r="A519" t="s">
        <v>246</v>
      </c>
      <c r="B519" t="s">
        <v>182</v>
      </c>
      <c r="C519" t="s">
        <v>183</v>
      </c>
      <c r="D519">
        <v>636</v>
      </c>
      <c r="E519" t="s">
        <v>910</v>
      </c>
      <c r="F519" t="s">
        <v>911</v>
      </c>
      <c r="G519" t="s">
        <v>912</v>
      </c>
      <c r="H519" t="s">
        <v>1001</v>
      </c>
      <c r="I519" t="s">
        <v>54</v>
      </c>
      <c r="J519" t="s">
        <v>1002</v>
      </c>
      <c r="K519" t="s">
        <v>56</v>
      </c>
      <c r="L519">
        <v>0</v>
      </c>
      <c r="M519" t="s">
        <v>73</v>
      </c>
      <c r="N519">
        <v>0</v>
      </c>
      <c r="O519" t="s">
        <v>58</v>
      </c>
      <c r="P519" t="s">
        <v>59</v>
      </c>
      <c r="Q519" t="s">
        <v>1003</v>
      </c>
      <c r="R519" t="s">
        <v>1002</v>
      </c>
      <c r="S519" s="1">
        <v>44465</v>
      </c>
      <c r="T519" s="1">
        <v>44469</v>
      </c>
      <c r="U519">
        <v>37501</v>
      </c>
      <c r="V519" t="s">
        <v>104</v>
      </c>
      <c r="W519" t="s">
        <v>1004</v>
      </c>
      <c r="X519" s="1">
        <v>44470</v>
      </c>
      <c r="Y519" t="s">
        <v>207</v>
      </c>
      <c r="Z519">
        <v>696.64</v>
      </c>
      <c r="AA519">
        <v>16</v>
      </c>
      <c r="AB519">
        <v>111.46</v>
      </c>
      <c r="AC519">
        <v>20.9</v>
      </c>
      <c r="AD519">
        <v>829</v>
      </c>
      <c r="AE519">
        <v>4939.2</v>
      </c>
      <c r="AF519">
        <v>4909</v>
      </c>
      <c r="AG519" t="s">
        <v>966</v>
      </c>
      <c r="AH519" t="s">
        <v>65</v>
      </c>
      <c r="AI519" t="s">
        <v>65</v>
      </c>
      <c r="AJ519" t="s">
        <v>66</v>
      </c>
      <c r="AK519" t="s">
        <v>66</v>
      </c>
      <c r="AL519" t="s">
        <v>66</v>
      </c>
      <c r="AM519" s="2" t="str">
        <f>HYPERLINK("https://transparencia.cidesi.mx/comprobantes/2021/CQ2100922 /C9F0000140204.pdf")</f>
        <v>https://transparencia.cidesi.mx/comprobantes/2021/CQ2100922 /C9F0000140204.pdf</v>
      </c>
      <c r="AN519" t="str">
        <f>HYPERLINK("https://transparencia.cidesi.mx/comprobantes/2021/CQ2100922 /C9F0000140204.pdf")</f>
        <v>https://transparencia.cidesi.mx/comprobantes/2021/CQ2100922 /C9F0000140204.pdf</v>
      </c>
      <c r="AO519" t="str">
        <f>HYPERLINK("https://transparencia.cidesi.mx/comprobantes/2021/CQ2100922 /C9F0000140204.xml")</f>
        <v>https://transparencia.cidesi.mx/comprobantes/2021/CQ2100922 /C9F0000140204.xml</v>
      </c>
      <c r="AP519" t="s">
        <v>1005</v>
      </c>
      <c r="AQ519" t="s">
        <v>1006</v>
      </c>
      <c r="AR519" t="s">
        <v>1007</v>
      </c>
      <c r="AS519" t="s">
        <v>1008</v>
      </c>
      <c r="AT519" s="1">
        <v>44474</v>
      </c>
      <c r="AU519" t="s">
        <v>73</v>
      </c>
    </row>
    <row r="520" spans="1:47" x14ac:dyDescent="0.3">
      <c r="A520" t="s">
        <v>246</v>
      </c>
      <c r="B520" t="s">
        <v>182</v>
      </c>
      <c r="C520" t="s">
        <v>183</v>
      </c>
      <c r="D520">
        <v>636</v>
      </c>
      <c r="E520" t="s">
        <v>910</v>
      </c>
      <c r="F520" t="s">
        <v>911</v>
      </c>
      <c r="G520" t="s">
        <v>912</v>
      </c>
      <c r="H520" t="s">
        <v>1001</v>
      </c>
      <c r="I520" t="s">
        <v>54</v>
      </c>
      <c r="J520" t="s">
        <v>1002</v>
      </c>
      <c r="K520" t="s">
        <v>56</v>
      </c>
      <c r="L520">
        <v>0</v>
      </c>
      <c r="M520" t="s">
        <v>73</v>
      </c>
      <c r="N520">
        <v>0</v>
      </c>
      <c r="O520" t="s">
        <v>58</v>
      </c>
      <c r="P520" t="s">
        <v>59</v>
      </c>
      <c r="Q520" t="s">
        <v>1003</v>
      </c>
      <c r="R520" t="s">
        <v>1002</v>
      </c>
      <c r="S520" s="1">
        <v>44465</v>
      </c>
      <c r="T520" s="1">
        <v>44469</v>
      </c>
      <c r="U520">
        <v>37501</v>
      </c>
      <c r="V520" t="s">
        <v>104</v>
      </c>
      <c r="W520" t="s">
        <v>1004</v>
      </c>
      <c r="X520" s="1">
        <v>44470</v>
      </c>
      <c r="Y520" t="s">
        <v>207</v>
      </c>
      <c r="Z520">
        <v>529.66</v>
      </c>
      <c r="AA520">
        <v>16</v>
      </c>
      <c r="AB520">
        <v>84.75</v>
      </c>
      <c r="AC520">
        <v>10.59</v>
      </c>
      <c r="AD520">
        <v>625</v>
      </c>
      <c r="AE520">
        <v>4939.2</v>
      </c>
      <c r="AF520">
        <v>4909</v>
      </c>
      <c r="AG520" t="s">
        <v>966</v>
      </c>
      <c r="AH520" t="s">
        <v>65</v>
      </c>
      <c r="AI520" t="s">
        <v>65</v>
      </c>
      <c r="AJ520" t="s">
        <v>66</v>
      </c>
      <c r="AK520" t="s">
        <v>66</v>
      </c>
      <c r="AL520" t="s">
        <v>66</v>
      </c>
      <c r="AM520" s="2" t="str">
        <f>HYPERLINK("https://transparencia.cidesi.mx/comprobantes/2021/CQ2100922 /C10A36829.pdf")</f>
        <v>https://transparencia.cidesi.mx/comprobantes/2021/CQ2100922 /C10A36829.pdf</v>
      </c>
      <c r="AN520" t="str">
        <f>HYPERLINK("https://transparencia.cidesi.mx/comprobantes/2021/CQ2100922 /C10A36829.pdf")</f>
        <v>https://transparencia.cidesi.mx/comprobantes/2021/CQ2100922 /C10A36829.pdf</v>
      </c>
      <c r="AO520" t="str">
        <f>HYPERLINK("https://transparencia.cidesi.mx/comprobantes/2021/CQ2100922 /C10A36829.xml")</f>
        <v>https://transparencia.cidesi.mx/comprobantes/2021/CQ2100922 /C10A36829.xml</v>
      </c>
      <c r="AP520" t="s">
        <v>1005</v>
      </c>
      <c r="AQ520" t="s">
        <v>1006</v>
      </c>
      <c r="AR520" t="s">
        <v>1007</v>
      </c>
      <c r="AS520" t="s">
        <v>1008</v>
      </c>
      <c r="AT520" s="1">
        <v>44474</v>
      </c>
      <c r="AU520" t="s">
        <v>73</v>
      </c>
    </row>
    <row r="521" spans="1:47" x14ac:dyDescent="0.3">
      <c r="A521" t="s">
        <v>246</v>
      </c>
      <c r="B521" t="s">
        <v>182</v>
      </c>
      <c r="C521" t="s">
        <v>183</v>
      </c>
      <c r="D521">
        <v>636</v>
      </c>
      <c r="E521" t="s">
        <v>910</v>
      </c>
      <c r="F521" t="s">
        <v>911</v>
      </c>
      <c r="G521" t="s">
        <v>912</v>
      </c>
      <c r="H521" t="s">
        <v>1001</v>
      </c>
      <c r="I521" t="s">
        <v>54</v>
      </c>
      <c r="J521" t="s">
        <v>1002</v>
      </c>
      <c r="K521" t="s">
        <v>56</v>
      </c>
      <c r="L521">
        <v>0</v>
      </c>
      <c r="M521" t="s">
        <v>73</v>
      </c>
      <c r="N521">
        <v>0</v>
      </c>
      <c r="O521" t="s">
        <v>58</v>
      </c>
      <c r="P521" t="s">
        <v>59</v>
      </c>
      <c r="Q521" t="s">
        <v>1003</v>
      </c>
      <c r="R521" t="s">
        <v>1002</v>
      </c>
      <c r="S521" s="1">
        <v>44465</v>
      </c>
      <c r="T521" s="1">
        <v>44469</v>
      </c>
      <c r="U521">
        <v>37501</v>
      </c>
      <c r="V521" t="s">
        <v>61</v>
      </c>
      <c r="W521" t="s">
        <v>1004</v>
      </c>
      <c r="X521" s="1">
        <v>44470</v>
      </c>
      <c r="Y521" t="s">
        <v>207</v>
      </c>
      <c r="Z521">
        <v>291.67</v>
      </c>
      <c r="AA521">
        <v>16</v>
      </c>
      <c r="AB521">
        <v>23.33</v>
      </c>
      <c r="AC521">
        <v>31.5</v>
      </c>
      <c r="AD521">
        <v>346.5</v>
      </c>
      <c r="AE521">
        <v>4939.2</v>
      </c>
      <c r="AF521">
        <v>4909</v>
      </c>
      <c r="AG521" t="s">
        <v>916</v>
      </c>
      <c r="AH521" t="s">
        <v>65</v>
      </c>
      <c r="AI521" t="s">
        <v>65</v>
      </c>
      <c r="AJ521" t="s">
        <v>66</v>
      </c>
      <c r="AK521" t="s">
        <v>66</v>
      </c>
      <c r="AL521" t="s">
        <v>66</v>
      </c>
      <c r="AM521" s="2" t="str">
        <f>HYPERLINK("https://transparencia.cidesi.mx/comprobantes/2021/CQ2100922 /C11FECFDI32205.pdf")</f>
        <v>https://transparencia.cidesi.mx/comprobantes/2021/CQ2100922 /C11FECFDI32205.pdf</v>
      </c>
      <c r="AN521" t="str">
        <f>HYPERLINK("https://transparencia.cidesi.mx/comprobantes/2021/CQ2100922 /C11FECFDI32205.pdf")</f>
        <v>https://transparencia.cidesi.mx/comprobantes/2021/CQ2100922 /C11FECFDI32205.pdf</v>
      </c>
      <c r="AO521" t="str">
        <f>HYPERLINK("https://transparencia.cidesi.mx/comprobantes/2021/CQ2100922 /C11CFDI32205.xml")</f>
        <v>https://transparencia.cidesi.mx/comprobantes/2021/CQ2100922 /C11CFDI32205.xml</v>
      </c>
      <c r="AP521" t="s">
        <v>1005</v>
      </c>
      <c r="AQ521" t="s">
        <v>1006</v>
      </c>
      <c r="AR521" t="s">
        <v>1007</v>
      </c>
      <c r="AS521" t="s">
        <v>1008</v>
      </c>
      <c r="AT521" s="1">
        <v>44474</v>
      </c>
      <c r="AU521" t="s">
        <v>73</v>
      </c>
    </row>
    <row r="522" spans="1:47" x14ac:dyDescent="0.3">
      <c r="A522" t="s">
        <v>246</v>
      </c>
      <c r="B522" t="s">
        <v>182</v>
      </c>
      <c r="C522" t="s">
        <v>183</v>
      </c>
      <c r="D522">
        <v>636</v>
      </c>
      <c r="E522" t="s">
        <v>910</v>
      </c>
      <c r="F522" t="s">
        <v>911</v>
      </c>
      <c r="G522" t="s">
        <v>912</v>
      </c>
      <c r="H522" t="s">
        <v>1001</v>
      </c>
      <c r="I522" t="s">
        <v>54</v>
      </c>
      <c r="J522" t="s">
        <v>1002</v>
      </c>
      <c r="K522" t="s">
        <v>56</v>
      </c>
      <c r="L522">
        <v>0</v>
      </c>
      <c r="M522" t="s">
        <v>73</v>
      </c>
      <c r="N522">
        <v>0</v>
      </c>
      <c r="O522" t="s">
        <v>58</v>
      </c>
      <c r="P522" t="s">
        <v>59</v>
      </c>
      <c r="Q522" t="s">
        <v>1003</v>
      </c>
      <c r="R522" t="s">
        <v>1002</v>
      </c>
      <c r="S522" s="1">
        <v>44465</v>
      </c>
      <c r="T522" s="1">
        <v>44469</v>
      </c>
      <c r="U522">
        <v>37501</v>
      </c>
      <c r="V522" t="s">
        <v>61</v>
      </c>
      <c r="W522" t="s">
        <v>1004</v>
      </c>
      <c r="X522" s="1">
        <v>44470</v>
      </c>
      <c r="Y522" t="s">
        <v>207</v>
      </c>
      <c r="Z522">
        <v>251.72</v>
      </c>
      <c r="AA522">
        <v>16</v>
      </c>
      <c r="AB522">
        <v>40.28</v>
      </c>
      <c r="AC522">
        <v>29.2</v>
      </c>
      <c r="AD522">
        <v>321.2</v>
      </c>
      <c r="AE522">
        <v>4939.2</v>
      </c>
      <c r="AF522">
        <v>4909</v>
      </c>
      <c r="AG522" t="s">
        <v>916</v>
      </c>
      <c r="AH522" t="s">
        <v>65</v>
      </c>
      <c r="AI522" t="s">
        <v>65</v>
      </c>
      <c r="AJ522" t="s">
        <v>66</v>
      </c>
      <c r="AK522" t="s">
        <v>66</v>
      </c>
      <c r="AL522" t="s">
        <v>66</v>
      </c>
      <c r="AM522" s="2" t="str">
        <f>HYPERLINK("https://transparencia.cidesi.mx/comprobantes/2021/CQ2100922 /C12FOLB580423182_DQ_1256_CID840309UG7.pdf")</f>
        <v>https://transparencia.cidesi.mx/comprobantes/2021/CQ2100922 /C12FOLB580423182_DQ_1256_CID840309UG7.pdf</v>
      </c>
      <c r="AN522" t="str">
        <f>HYPERLINK("https://transparencia.cidesi.mx/comprobantes/2021/CQ2100922 /C12FOLB580423182_DQ_1256_CID840309UG7.pdf")</f>
        <v>https://transparencia.cidesi.mx/comprobantes/2021/CQ2100922 /C12FOLB580423182_DQ_1256_CID840309UG7.pdf</v>
      </c>
      <c r="AO522" t="str">
        <f>HYPERLINK("https://transparencia.cidesi.mx/comprobantes/2021/CQ2100922 /C12FOLB580423182_DQ_1256_CID840309UG7.xml")</f>
        <v>https://transparencia.cidesi.mx/comprobantes/2021/CQ2100922 /C12FOLB580423182_DQ_1256_CID840309UG7.xml</v>
      </c>
      <c r="AP522" t="s">
        <v>1005</v>
      </c>
      <c r="AQ522" t="s">
        <v>1006</v>
      </c>
      <c r="AR522" t="s">
        <v>1007</v>
      </c>
      <c r="AS522" t="s">
        <v>1008</v>
      </c>
      <c r="AT522" s="1">
        <v>44474</v>
      </c>
      <c r="AU522" t="s">
        <v>73</v>
      </c>
    </row>
    <row r="523" spans="1:47" x14ac:dyDescent="0.3">
      <c r="A523" t="s">
        <v>246</v>
      </c>
      <c r="B523" t="s">
        <v>182</v>
      </c>
      <c r="C523" t="s">
        <v>183</v>
      </c>
      <c r="D523">
        <v>636</v>
      </c>
      <c r="E523" t="s">
        <v>910</v>
      </c>
      <c r="F523" t="s">
        <v>911</v>
      </c>
      <c r="G523" t="s">
        <v>912</v>
      </c>
      <c r="H523" t="s">
        <v>1001</v>
      </c>
      <c r="I523" t="s">
        <v>54</v>
      </c>
      <c r="J523" t="s">
        <v>1002</v>
      </c>
      <c r="K523" t="s">
        <v>56</v>
      </c>
      <c r="L523">
        <v>0</v>
      </c>
      <c r="M523" t="s">
        <v>73</v>
      </c>
      <c r="N523">
        <v>0</v>
      </c>
      <c r="O523" t="s">
        <v>58</v>
      </c>
      <c r="P523" t="s">
        <v>59</v>
      </c>
      <c r="Q523" t="s">
        <v>1003</v>
      </c>
      <c r="R523" t="s">
        <v>1002</v>
      </c>
      <c r="S523" s="1">
        <v>44465</v>
      </c>
      <c r="T523" s="1">
        <v>44469</v>
      </c>
      <c r="U523">
        <v>37501</v>
      </c>
      <c r="V523" t="s">
        <v>61</v>
      </c>
      <c r="W523" t="s">
        <v>1004</v>
      </c>
      <c r="X523" s="1">
        <v>44470</v>
      </c>
      <c r="Y523" t="s">
        <v>207</v>
      </c>
      <c r="Z523">
        <v>224.14</v>
      </c>
      <c r="AA523">
        <v>16</v>
      </c>
      <c r="AB523">
        <v>35.86</v>
      </c>
      <c r="AC523">
        <v>26</v>
      </c>
      <c r="AD523">
        <v>286</v>
      </c>
      <c r="AE523">
        <v>4939.2</v>
      </c>
      <c r="AF523">
        <v>4909</v>
      </c>
      <c r="AG523" t="s">
        <v>916</v>
      </c>
      <c r="AH523" t="s">
        <v>65</v>
      </c>
      <c r="AI523" t="s">
        <v>65</v>
      </c>
      <c r="AJ523" t="s">
        <v>66</v>
      </c>
      <c r="AK523" t="s">
        <v>66</v>
      </c>
      <c r="AL523" t="s">
        <v>66</v>
      </c>
      <c r="AM523" s="2" t="str">
        <f>HYPERLINK("https://transparencia.cidesi.mx/comprobantes/2021/CQ2100922 /C13FFOGAO0000001011.pdf")</f>
        <v>https://transparencia.cidesi.mx/comprobantes/2021/CQ2100922 /C13FFOGAO0000001011.pdf</v>
      </c>
      <c r="AN523" t="str">
        <f>HYPERLINK("https://transparencia.cidesi.mx/comprobantes/2021/CQ2100922 /C13FFOGAO0000001011.pdf")</f>
        <v>https://transparencia.cidesi.mx/comprobantes/2021/CQ2100922 /C13FFOGAO0000001011.pdf</v>
      </c>
      <c r="AO523" t="str">
        <f>HYPERLINK("https://transparencia.cidesi.mx/comprobantes/2021/CQ2100922 /C13FFOGAO0000001011.xml")</f>
        <v>https://transparencia.cidesi.mx/comprobantes/2021/CQ2100922 /C13FFOGAO0000001011.xml</v>
      </c>
      <c r="AP523" t="s">
        <v>1005</v>
      </c>
      <c r="AQ523" t="s">
        <v>1006</v>
      </c>
      <c r="AR523" t="s">
        <v>1007</v>
      </c>
      <c r="AS523" t="s">
        <v>1008</v>
      </c>
      <c r="AT523" s="1">
        <v>44474</v>
      </c>
      <c r="AU523" t="s">
        <v>73</v>
      </c>
    </row>
    <row r="524" spans="1:47" x14ac:dyDescent="0.3">
      <c r="A524" t="s">
        <v>246</v>
      </c>
      <c r="B524" t="s">
        <v>182</v>
      </c>
      <c r="C524" t="s">
        <v>183</v>
      </c>
      <c r="D524">
        <v>636</v>
      </c>
      <c r="E524" t="s">
        <v>910</v>
      </c>
      <c r="F524" t="s">
        <v>911</v>
      </c>
      <c r="G524" t="s">
        <v>912</v>
      </c>
      <c r="H524" t="s">
        <v>1001</v>
      </c>
      <c r="I524" t="s">
        <v>54</v>
      </c>
      <c r="J524" t="s">
        <v>1002</v>
      </c>
      <c r="K524" t="s">
        <v>56</v>
      </c>
      <c r="L524">
        <v>0</v>
      </c>
      <c r="M524" t="s">
        <v>73</v>
      </c>
      <c r="N524">
        <v>0</v>
      </c>
      <c r="O524" t="s">
        <v>58</v>
      </c>
      <c r="P524" t="s">
        <v>59</v>
      </c>
      <c r="Q524" t="s">
        <v>1003</v>
      </c>
      <c r="R524" t="s">
        <v>1002</v>
      </c>
      <c r="S524" s="1">
        <v>44465</v>
      </c>
      <c r="T524" s="1">
        <v>44469</v>
      </c>
      <c r="U524">
        <v>37501</v>
      </c>
      <c r="V524" t="s">
        <v>61</v>
      </c>
      <c r="W524" t="s">
        <v>1004</v>
      </c>
      <c r="X524" s="1">
        <v>44470</v>
      </c>
      <c r="Y524" t="s">
        <v>207</v>
      </c>
      <c r="Z524">
        <v>139.4</v>
      </c>
      <c r="AA524">
        <v>16</v>
      </c>
      <c r="AB524">
        <v>9.1</v>
      </c>
      <c r="AC524">
        <v>0</v>
      </c>
      <c r="AD524">
        <v>148.5</v>
      </c>
      <c r="AE524">
        <v>4939.2</v>
      </c>
      <c r="AF524">
        <v>4909</v>
      </c>
      <c r="AG524" t="s">
        <v>916</v>
      </c>
      <c r="AH524" t="s">
        <v>65</v>
      </c>
      <c r="AI524" t="s">
        <v>65</v>
      </c>
      <c r="AJ524" t="s">
        <v>66</v>
      </c>
      <c r="AK524" t="s">
        <v>66</v>
      </c>
      <c r="AL524" t="s">
        <v>66</v>
      </c>
      <c r="AM524" s="2" t="str">
        <f>HYPERLINK("https://transparencia.cidesi.mx/comprobantes/2021/CQ2100922 /C14FACTURA_1633107021993_347302995.pdf")</f>
        <v>https://transparencia.cidesi.mx/comprobantes/2021/CQ2100922 /C14FACTURA_1633107021993_347302995.pdf</v>
      </c>
      <c r="AN524" t="str">
        <f>HYPERLINK("https://transparencia.cidesi.mx/comprobantes/2021/CQ2100922 /C14FACTURA_1633107021993_347302995.pdf")</f>
        <v>https://transparencia.cidesi.mx/comprobantes/2021/CQ2100922 /C14FACTURA_1633107021993_347302995.pdf</v>
      </c>
      <c r="AO524" t="str">
        <f>HYPERLINK("https://transparencia.cidesi.mx/comprobantes/2021/CQ2100922 /C14FACTURA_1633107022683_347302995.xml")</f>
        <v>https://transparencia.cidesi.mx/comprobantes/2021/CQ2100922 /C14FACTURA_1633107022683_347302995.xml</v>
      </c>
      <c r="AP524" t="s">
        <v>1005</v>
      </c>
      <c r="AQ524" t="s">
        <v>1006</v>
      </c>
      <c r="AR524" t="s">
        <v>1007</v>
      </c>
      <c r="AS524" t="s">
        <v>1008</v>
      </c>
      <c r="AT524" s="1">
        <v>44474</v>
      </c>
      <c r="AU524" t="s">
        <v>73</v>
      </c>
    </row>
    <row r="525" spans="1:47" x14ac:dyDescent="0.3">
      <c r="A525" t="s">
        <v>246</v>
      </c>
      <c r="B525" t="s">
        <v>182</v>
      </c>
      <c r="C525" t="s">
        <v>183</v>
      </c>
      <c r="D525">
        <v>636</v>
      </c>
      <c r="E525" t="s">
        <v>910</v>
      </c>
      <c r="F525" t="s">
        <v>911</v>
      </c>
      <c r="G525" t="s">
        <v>912</v>
      </c>
      <c r="H525" t="s">
        <v>1001</v>
      </c>
      <c r="I525" t="s">
        <v>54</v>
      </c>
      <c r="J525" t="s">
        <v>1002</v>
      </c>
      <c r="K525" t="s">
        <v>56</v>
      </c>
      <c r="L525">
        <v>0</v>
      </c>
      <c r="M525" t="s">
        <v>73</v>
      </c>
      <c r="N525">
        <v>0</v>
      </c>
      <c r="O525" t="s">
        <v>58</v>
      </c>
      <c r="P525" t="s">
        <v>59</v>
      </c>
      <c r="Q525" t="s">
        <v>1003</v>
      </c>
      <c r="R525" t="s">
        <v>1002</v>
      </c>
      <c r="S525" s="1">
        <v>44465</v>
      </c>
      <c r="T525" s="1">
        <v>44469</v>
      </c>
      <c r="U525">
        <v>37501</v>
      </c>
      <c r="V525" t="s">
        <v>61</v>
      </c>
      <c r="W525" t="s">
        <v>1004</v>
      </c>
      <c r="X525" s="1">
        <v>44470</v>
      </c>
      <c r="Y525" t="s">
        <v>207</v>
      </c>
      <c r="Z525">
        <v>47.42</v>
      </c>
      <c r="AA525">
        <v>6</v>
      </c>
      <c r="AB525">
        <v>7.58</v>
      </c>
      <c r="AC525">
        <v>0</v>
      </c>
      <c r="AD525">
        <v>55</v>
      </c>
      <c r="AE525">
        <v>4939.2</v>
      </c>
      <c r="AF525">
        <v>4909</v>
      </c>
      <c r="AG525" t="s">
        <v>916</v>
      </c>
      <c r="AH525" t="s">
        <v>65</v>
      </c>
      <c r="AI525" t="s">
        <v>65</v>
      </c>
      <c r="AJ525" t="s">
        <v>66</v>
      </c>
      <c r="AK525" t="s">
        <v>66</v>
      </c>
      <c r="AL525" t="s">
        <v>66</v>
      </c>
      <c r="AM525" s="2" t="str">
        <f>HYPERLINK("https://transparencia.cidesi.mx/comprobantes/2021/CQ2100922 /C15FACTURA_1633107111653_347303253.pdf")</f>
        <v>https://transparencia.cidesi.mx/comprobantes/2021/CQ2100922 /C15FACTURA_1633107111653_347303253.pdf</v>
      </c>
      <c r="AN525" t="str">
        <f>HYPERLINK("https://transparencia.cidesi.mx/comprobantes/2021/CQ2100922 /C15FACTURA_1633107111653_347303253.pdf")</f>
        <v>https://transparencia.cidesi.mx/comprobantes/2021/CQ2100922 /C15FACTURA_1633107111653_347303253.pdf</v>
      </c>
      <c r="AO525" t="str">
        <f>HYPERLINK("https://transparencia.cidesi.mx/comprobantes/2021/CQ2100922 /C15FACTURA_1633107112123_347303253.xml")</f>
        <v>https://transparencia.cidesi.mx/comprobantes/2021/CQ2100922 /C15FACTURA_1633107112123_347303253.xml</v>
      </c>
      <c r="AP525" t="s">
        <v>1005</v>
      </c>
      <c r="AQ525" t="s">
        <v>1006</v>
      </c>
      <c r="AR525" t="s">
        <v>1007</v>
      </c>
      <c r="AS525" t="s">
        <v>1008</v>
      </c>
      <c r="AT525" s="1">
        <v>44474</v>
      </c>
      <c r="AU525" t="s">
        <v>73</v>
      </c>
    </row>
    <row r="526" spans="1:47" x14ac:dyDescent="0.3">
      <c r="A526" t="s">
        <v>246</v>
      </c>
      <c r="B526" t="s">
        <v>182</v>
      </c>
      <c r="C526" t="s">
        <v>183</v>
      </c>
      <c r="D526">
        <v>636</v>
      </c>
      <c r="E526" t="s">
        <v>910</v>
      </c>
      <c r="F526" t="s">
        <v>911</v>
      </c>
      <c r="G526" t="s">
        <v>912</v>
      </c>
      <c r="H526" t="s">
        <v>1001</v>
      </c>
      <c r="I526" t="s">
        <v>54</v>
      </c>
      <c r="J526" t="s">
        <v>1002</v>
      </c>
      <c r="K526" t="s">
        <v>56</v>
      </c>
      <c r="L526">
        <v>0</v>
      </c>
      <c r="M526" t="s">
        <v>73</v>
      </c>
      <c r="N526">
        <v>0</v>
      </c>
      <c r="O526" t="s">
        <v>58</v>
      </c>
      <c r="P526" t="s">
        <v>59</v>
      </c>
      <c r="Q526" t="s">
        <v>1003</v>
      </c>
      <c r="R526" t="s">
        <v>1002</v>
      </c>
      <c r="S526" s="1">
        <v>44465</v>
      </c>
      <c r="T526" s="1">
        <v>44469</v>
      </c>
      <c r="U526">
        <v>37501</v>
      </c>
      <c r="V526" t="s">
        <v>1009</v>
      </c>
      <c r="W526" t="s">
        <v>1004</v>
      </c>
      <c r="X526" s="1">
        <v>44470</v>
      </c>
      <c r="Y526" t="s">
        <v>207</v>
      </c>
      <c r="Z526">
        <v>55</v>
      </c>
      <c r="AA526">
        <v>0</v>
      </c>
      <c r="AB526">
        <v>0</v>
      </c>
      <c r="AC526">
        <v>0</v>
      </c>
      <c r="AD526">
        <v>55</v>
      </c>
      <c r="AE526">
        <v>4939.2</v>
      </c>
      <c r="AF526">
        <v>4909</v>
      </c>
      <c r="AG526" t="s">
        <v>1010</v>
      </c>
      <c r="AH526" t="s">
        <v>66</v>
      </c>
      <c r="AI526" t="s">
        <v>66</v>
      </c>
      <c r="AJ526" t="s">
        <v>66</v>
      </c>
      <c r="AK526" t="s">
        <v>66</v>
      </c>
      <c r="AL526" t="s">
        <v>66</v>
      </c>
      <c r="AM526" s="2" t="s">
        <v>73</v>
      </c>
      <c r="AN526" t="s">
        <v>73</v>
      </c>
      <c r="AO526" t="s">
        <v>73</v>
      </c>
      <c r="AP526" t="s">
        <v>1005</v>
      </c>
      <c r="AQ526" t="s">
        <v>1006</v>
      </c>
      <c r="AR526" t="s">
        <v>1007</v>
      </c>
      <c r="AS526" t="s">
        <v>1008</v>
      </c>
      <c r="AT526" s="1">
        <v>44474</v>
      </c>
      <c r="AU526" t="s">
        <v>73</v>
      </c>
    </row>
    <row r="527" spans="1:47" x14ac:dyDescent="0.3">
      <c r="A527" t="s">
        <v>47</v>
      </c>
      <c r="B527" t="s">
        <v>224</v>
      </c>
      <c r="C527" t="s">
        <v>225</v>
      </c>
      <c r="D527">
        <v>656</v>
      </c>
      <c r="E527" t="s">
        <v>1011</v>
      </c>
      <c r="F527" t="s">
        <v>912</v>
      </c>
      <c r="G527" t="s">
        <v>1012</v>
      </c>
      <c r="H527" t="s">
        <v>1013</v>
      </c>
      <c r="I527" t="s">
        <v>54</v>
      </c>
      <c r="J527" t="s">
        <v>1014</v>
      </c>
      <c r="K527" t="s">
        <v>56</v>
      </c>
      <c r="L527">
        <v>0</v>
      </c>
      <c r="M527" t="s">
        <v>73</v>
      </c>
      <c r="N527">
        <v>0</v>
      </c>
      <c r="O527" t="s">
        <v>58</v>
      </c>
      <c r="P527" t="s">
        <v>59</v>
      </c>
      <c r="Q527" t="s">
        <v>216</v>
      </c>
      <c r="R527" t="s">
        <v>1014</v>
      </c>
      <c r="S527" s="1">
        <v>44392</v>
      </c>
      <c r="T527" s="1">
        <v>44392</v>
      </c>
      <c r="U527">
        <v>37501</v>
      </c>
      <c r="V527" t="s">
        <v>61</v>
      </c>
      <c r="W527" t="s">
        <v>1015</v>
      </c>
      <c r="X527" s="1">
        <v>44393</v>
      </c>
      <c r="Y527" t="s">
        <v>63</v>
      </c>
      <c r="Z527">
        <v>418.1</v>
      </c>
      <c r="AA527">
        <v>16</v>
      </c>
      <c r="AB527">
        <v>66.900000000000006</v>
      </c>
      <c r="AC527">
        <v>49</v>
      </c>
      <c r="AD527">
        <v>534</v>
      </c>
      <c r="AE527">
        <v>534</v>
      </c>
      <c r="AF527">
        <v>545</v>
      </c>
      <c r="AG527" t="s">
        <v>1016</v>
      </c>
      <c r="AH527" t="s">
        <v>65</v>
      </c>
      <c r="AI527" t="s">
        <v>65</v>
      </c>
      <c r="AJ527" t="s">
        <v>66</v>
      </c>
      <c r="AK527" t="s">
        <v>66</v>
      </c>
      <c r="AL527" t="s">
        <v>66</v>
      </c>
      <c r="AM527" s="2" t="str">
        <f>HYPERLINK("https://transparencia.cidesi.mx/comprobantes/2021/CQ2100517 /C1F21634_MME140321PZ3.pdf")</f>
        <v>https://transparencia.cidesi.mx/comprobantes/2021/CQ2100517 /C1F21634_MME140321PZ3.pdf</v>
      </c>
      <c r="AN527" t="str">
        <f>HYPERLINK("https://transparencia.cidesi.mx/comprobantes/2021/CQ2100517 /C1F21634_MME140321PZ3.pdf")</f>
        <v>https://transparencia.cidesi.mx/comprobantes/2021/CQ2100517 /C1F21634_MME140321PZ3.pdf</v>
      </c>
      <c r="AO527" t="str">
        <f>HYPERLINK("https://transparencia.cidesi.mx/comprobantes/2021/CQ2100517 /C1F21634_MME140321PZ3.xml")</f>
        <v>https://transparencia.cidesi.mx/comprobantes/2021/CQ2100517 /C1F21634_MME140321PZ3.xml</v>
      </c>
      <c r="AP527" t="s">
        <v>1017</v>
      </c>
      <c r="AQ527" t="s">
        <v>1018</v>
      </c>
      <c r="AR527" t="s">
        <v>1019</v>
      </c>
      <c r="AS527" t="s">
        <v>1020</v>
      </c>
      <c r="AT527" s="1">
        <v>44399</v>
      </c>
      <c r="AU527" s="1">
        <v>44403</v>
      </c>
    </row>
    <row r="528" spans="1:47" x14ac:dyDescent="0.3">
      <c r="A528" t="s">
        <v>47</v>
      </c>
      <c r="B528" t="s">
        <v>224</v>
      </c>
      <c r="C528" t="s">
        <v>225</v>
      </c>
      <c r="D528">
        <v>656</v>
      </c>
      <c r="E528" t="s">
        <v>1011</v>
      </c>
      <c r="F528" t="s">
        <v>912</v>
      </c>
      <c r="G528" t="s">
        <v>1012</v>
      </c>
      <c r="H528" t="s">
        <v>1021</v>
      </c>
      <c r="I528" t="s">
        <v>54</v>
      </c>
      <c r="J528" t="s">
        <v>1014</v>
      </c>
      <c r="K528" t="s">
        <v>56</v>
      </c>
      <c r="L528">
        <v>0</v>
      </c>
      <c r="M528" t="s">
        <v>73</v>
      </c>
      <c r="N528">
        <v>0</v>
      </c>
      <c r="O528" t="s">
        <v>58</v>
      </c>
      <c r="P528" t="s">
        <v>59</v>
      </c>
      <c r="Q528" t="s">
        <v>216</v>
      </c>
      <c r="R528" t="s">
        <v>1014</v>
      </c>
      <c r="S528" s="1">
        <v>44393</v>
      </c>
      <c r="T528" s="1">
        <v>44393</v>
      </c>
      <c r="U528">
        <v>37501</v>
      </c>
      <c r="V528" t="s">
        <v>61</v>
      </c>
      <c r="W528" t="s">
        <v>1022</v>
      </c>
      <c r="X528" s="1">
        <v>44393</v>
      </c>
      <c r="Y528" t="s">
        <v>63</v>
      </c>
      <c r="Z528">
        <v>317.24</v>
      </c>
      <c r="AA528">
        <v>16</v>
      </c>
      <c r="AB528">
        <v>50.76</v>
      </c>
      <c r="AC528">
        <v>37</v>
      </c>
      <c r="AD528">
        <v>405</v>
      </c>
      <c r="AE528">
        <v>544.5</v>
      </c>
      <c r="AF528">
        <v>545</v>
      </c>
      <c r="AG528" t="s">
        <v>1016</v>
      </c>
      <c r="AH528" t="s">
        <v>65</v>
      </c>
      <c r="AI528" t="s">
        <v>65</v>
      </c>
      <c r="AJ528" t="s">
        <v>66</v>
      </c>
      <c r="AK528" t="s">
        <v>66</v>
      </c>
      <c r="AL528" t="s">
        <v>66</v>
      </c>
      <c r="AM528" s="2" t="str">
        <f>HYPERLINK("https://transparencia.cidesi.mx/comprobantes/2021/CQ2100518 /C1F72399_SRE1309034W9.pdf")</f>
        <v>https://transparencia.cidesi.mx/comprobantes/2021/CQ2100518 /C1F72399_SRE1309034W9.pdf</v>
      </c>
      <c r="AN528" t="str">
        <f>HYPERLINK("https://transparencia.cidesi.mx/comprobantes/2021/CQ2100518 /C1F72399_SRE1309034W9.pdf")</f>
        <v>https://transparencia.cidesi.mx/comprobantes/2021/CQ2100518 /C1F72399_SRE1309034W9.pdf</v>
      </c>
      <c r="AO528" t="str">
        <f>HYPERLINK("https://transparencia.cidesi.mx/comprobantes/2021/CQ2100518 /C1F72399_SRE1309034W9.xml")</f>
        <v>https://transparencia.cidesi.mx/comprobantes/2021/CQ2100518 /C1F72399_SRE1309034W9.xml</v>
      </c>
      <c r="AP528" t="s">
        <v>1017</v>
      </c>
      <c r="AQ528" t="s">
        <v>1018</v>
      </c>
      <c r="AR528" t="s">
        <v>1019</v>
      </c>
      <c r="AS528" t="s">
        <v>1020</v>
      </c>
      <c r="AT528" s="1">
        <v>44399</v>
      </c>
      <c r="AU528" s="1">
        <v>44403</v>
      </c>
    </row>
    <row r="529" spans="1:47" x14ac:dyDescent="0.3">
      <c r="A529" t="s">
        <v>47</v>
      </c>
      <c r="B529" t="s">
        <v>224</v>
      </c>
      <c r="C529" t="s">
        <v>225</v>
      </c>
      <c r="D529">
        <v>656</v>
      </c>
      <c r="E529" t="s">
        <v>1011</v>
      </c>
      <c r="F529" t="s">
        <v>912</v>
      </c>
      <c r="G529" t="s">
        <v>1012</v>
      </c>
      <c r="H529" t="s">
        <v>1021</v>
      </c>
      <c r="I529" t="s">
        <v>54</v>
      </c>
      <c r="J529" t="s">
        <v>1014</v>
      </c>
      <c r="K529" t="s">
        <v>56</v>
      </c>
      <c r="L529">
        <v>0</v>
      </c>
      <c r="M529" t="s">
        <v>73</v>
      </c>
      <c r="N529">
        <v>0</v>
      </c>
      <c r="O529" t="s">
        <v>58</v>
      </c>
      <c r="P529" t="s">
        <v>59</v>
      </c>
      <c r="Q529" t="s">
        <v>216</v>
      </c>
      <c r="R529" t="s">
        <v>1014</v>
      </c>
      <c r="S529" s="1">
        <v>44393</v>
      </c>
      <c r="T529" s="1">
        <v>44393</v>
      </c>
      <c r="U529">
        <v>37501</v>
      </c>
      <c r="V529" t="s">
        <v>61</v>
      </c>
      <c r="W529" t="s">
        <v>1022</v>
      </c>
      <c r="X529" s="1">
        <v>44393</v>
      </c>
      <c r="Y529" t="s">
        <v>63</v>
      </c>
      <c r="Z529">
        <v>139.5</v>
      </c>
      <c r="AA529">
        <v>0</v>
      </c>
      <c r="AB529">
        <v>0</v>
      </c>
      <c r="AC529">
        <v>0</v>
      </c>
      <c r="AD529">
        <v>139.5</v>
      </c>
      <c r="AE529">
        <v>544.5</v>
      </c>
      <c r="AF529">
        <v>545</v>
      </c>
      <c r="AG529" t="s">
        <v>1016</v>
      </c>
      <c r="AH529" t="s">
        <v>65</v>
      </c>
      <c r="AI529" t="s">
        <v>65</v>
      </c>
      <c r="AJ529" t="s">
        <v>66</v>
      </c>
      <c r="AK529" t="s">
        <v>66</v>
      </c>
      <c r="AL529" t="s">
        <v>66</v>
      </c>
      <c r="AM529" s="2" t="str">
        <f>HYPERLINK("https://transparencia.cidesi.mx/comprobantes/2021/CQ2100518 /C2F337342413_CCO8605231N4.pdf")</f>
        <v>https://transparencia.cidesi.mx/comprobantes/2021/CQ2100518 /C2F337342413_CCO8605231N4.pdf</v>
      </c>
      <c r="AN529" t="str">
        <f>HYPERLINK("https://transparencia.cidesi.mx/comprobantes/2021/CQ2100518 /C2F337342413_CCO8605231N4.pdf")</f>
        <v>https://transparencia.cidesi.mx/comprobantes/2021/CQ2100518 /C2F337342413_CCO8605231N4.pdf</v>
      </c>
      <c r="AO529" t="str">
        <f>HYPERLINK("https://transparencia.cidesi.mx/comprobantes/2021/CQ2100518 /C2F337342413_CCO8605231N4.xml")</f>
        <v>https://transparencia.cidesi.mx/comprobantes/2021/CQ2100518 /C2F337342413_CCO8605231N4.xml</v>
      </c>
      <c r="AP529" t="s">
        <v>1017</v>
      </c>
      <c r="AQ529" t="s">
        <v>1018</v>
      </c>
      <c r="AR529" t="s">
        <v>1019</v>
      </c>
      <c r="AS529" t="s">
        <v>1020</v>
      </c>
      <c r="AT529" s="1">
        <v>44399</v>
      </c>
      <c r="AU529" s="1">
        <v>44403</v>
      </c>
    </row>
    <row r="530" spans="1:47" x14ac:dyDescent="0.3">
      <c r="A530" t="s">
        <v>47</v>
      </c>
      <c r="B530" t="s">
        <v>224</v>
      </c>
      <c r="C530" t="s">
        <v>225</v>
      </c>
      <c r="D530">
        <v>656</v>
      </c>
      <c r="E530" t="s">
        <v>1011</v>
      </c>
      <c r="F530" t="s">
        <v>912</v>
      </c>
      <c r="G530" t="s">
        <v>1012</v>
      </c>
      <c r="H530" t="s">
        <v>1023</v>
      </c>
      <c r="I530" t="s">
        <v>54</v>
      </c>
      <c r="J530" t="s">
        <v>1014</v>
      </c>
      <c r="K530" t="s">
        <v>56</v>
      </c>
      <c r="L530">
        <v>0</v>
      </c>
      <c r="M530" t="s">
        <v>73</v>
      </c>
      <c r="N530">
        <v>0</v>
      </c>
      <c r="O530" t="s">
        <v>58</v>
      </c>
      <c r="P530" t="s">
        <v>59</v>
      </c>
      <c r="Q530" t="s">
        <v>216</v>
      </c>
      <c r="R530" t="s">
        <v>1014</v>
      </c>
      <c r="S530" s="1">
        <v>44396</v>
      </c>
      <c r="T530" s="1">
        <v>44396</v>
      </c>
      <c r="U530">
        <v>37501</v>
      </c>
      <c r="V530" t="s">
        <v>61</v>
      </c>
      <c r="W530" t="s">
        <v>1024</v>
      </c>
      <c r="X530" s="1">
        <v>44398</v>
      </c>
      <c r="Y530" t="s">
        <v>63</v>
      </c>
      <c r="Z530">
        <v>333.62</v>
      </c>
      <c r="AA530">
        <v>16</v>
      </c>
      <c r="AB530">
        <v>53.38</v>
      </c>
      <c r="AC530">
        <v>39</v>
      </c>
      <c r="AD530">
        <v>426</v>
      </c>
      <c r="AE530">
        <v>536</v>
      </c>
      <c r="AF530">
        <v>545</v>
      </c>
      <c r="AG530" t="s">
        <v>1016</v>
      </c>
      <c r="AH530" t="s">
        <v>65</v>
      </c>
      <c r="AI530" t="s">
        <v>65</v>
      </c>
      <c r="AJ530" t="s">
        <v>66</v>
      </c>
      <c r="AK530" t="s">
        <v>66</v>
      </c>
      <c r="AL530" t="s">
        <v>66</v>
      </c>
      <c r="AM530" s="2" t="str">
        <f>HYPERLINK("https://transparencia.cidesi.mx/comprobantes/2021/CQ2100543 /C1F18899_SGI140703AN8.pdf")</f>
        <v>https://transparencia.cidesi.mx/comprobantes/2021/CQ2100543 /C1F18899_SGI140703AN8.pdf</v>
      </c>
      <c r="AN530" t="str">
        <f>HYPERLINK("https://transparencia.cidesi.mx/comprobantes/2021/CQ2100543 /C1F18899_SGI140703AN8.pdf")</f>
        <v>https://transparencia.cidesi.mx/comprobantes/2021/CQ2100543 /C1F18899_SGI140703AN8.pdf</v>
      </c>
      <c r="AO530" t="str">
        <f>HYPERLINK("https://transparencia.cidesi.mx/comprobantes/2021/CQ2100543 /C1F18899_SGI140703AN8.xml")</f>
        <v>https://transparencia.cidesi.mx/comprobantes/2021/CQ2100543 /C1F18899_SGI140703AN8.xml</v>
      </c>
      <c r="AP530" t="s">
        <v>1017</v>
      </c>
      <c r="AQ530" t="s">
        <v>1018</v>
      </c>
      <c r="AR530" t="s">
        <v>1019</v>
      </c>
      <c r="AS530" t="s">
        <v>1020</v>
      </c>
      <c r="AT530" s="1">
        <v>44399</v>
      </c>
      <c r="AU530" s="1">
        <v>44403</v>
      </c>
    </row>
    <row r="531" spans="1:47" x14ac:dyDescent="0.3">
      <c r="A531" t="s">
        <v>47</v>
      </c>
      <c r="B531" t="s">
        <v>224</v>
      </c>
      <c r="C531" t="s">
        <v>225</v>
      </c>
      <c r="D531">
        <v>656</v>
      </c>
      <c r="E531" t="s">
        <v>1011</v>
      </c>
      <c r="F531" t="s">
        <v>912</v>
      </c>
      <c r="G531" t="s">
        <v>1012</v>
      </c>
      <c r="H531" t="s">
        <v>1023</v>
      </c>
      <c r="I531" t="s">
        <v>54</v>
      </c>
      <c r="J531" t="s">
        <v>1014</v>
      </c>
      <c r="K531" t="s">
        <v>56</v>
      </c>
      <c r="L531">
        <v>0</v>
      </c>
      <c r="M531" t="s">
        <v>73</v>
      </c>
      <c r="N531">
        <v>0</v>
      </c>
      <c r="O531" t="s">
        <v>58</v>
      </c>
      <c r="P531" t="s">
        <v>59</v>
      </c>
      <c r="Q531" t="s">
        <v>216</v>
      </c>
      <c r="R531" t="s">
        <v>1014</v>
      </c>
      <c r="S531" s="1">
        <v>44396</v>
      </c>
      <c r="T531" s="1">
        <v>44396</v>
      </c>
      <c r="U531">
        <v>37501</v>
      </c>
      <c r="V531" t="s">
        <v>61</v>
      </c>
      <c r="W531" t="s">
        <v>1024</v>
      </c>
      <c r="X531" s="1">
        <v>44398</v>
      </c>
      <c r="Y531" t="s">
        <v>63</v>
      </c>
      <c r="Z531">
        <v>108.34</v>
      </c>
      <c r="AA531">
        <v>16</v>
      </c>
      <c r="AB531">
        <v>1.66</v>
      </c>
      <c r="AC531">
        <v>0</v>
      </c>
      <c r="AD531">
        <v>110</v>
      </c>
      <c r="AE531">
        <v>536</v>
      </c>
      <c r="AF531">
        <v>545</v>
      </c>
      <c r="AG531" t="s">
        <v>1016</v>
      </c>
      <c r="AH531" t="s">
        <v>65</v>
      </c>
      <c r="AI531" t="s">
        <v>65</v>
      </c>
      <c r="AJ531" t="s">
        <v>66</v>
      </c>
      <c r="AK531" t="s">
        <v>66</v>
      </c>
      <c r="AL531" t="s">
        <v>66</v>
      </c>
      <c r="AM531" s="2" t="str">
        <f>HYPERLINK("https://transparencia.cidesi.mx/comprobantes/2021/CQ2100543 /C2F337643845_CCO8605231N4.pdf")</f>
        <v>https://transparencia.cidesi.mx/comprobantes/2021/CQ2100543 /C2F337643845_CCO8605231N4.pdf</v>
      </c>
      <c r="AN531" t="str">
        <f>HYPERLINK("https://transparencia.cidesi.mx/comprobantes/2021/CQ2100543 /C2F337643845_CCO8605231N4.pdf")</f>
        <v>https://transparencia.cidesi.mx/comprobantes/2021/CQ2100543 /C2F337643845_CCO8605231N4.pdf</v>
      </c>
      <c r="AO531" t="str">
        <f>HYPERLINK("https://transparencia.cidesi.mx/comprobantes/2021/CQ2100543 /C2F337643845_CCO8605231N4.xml")</f>
        <v>https://transparencia.cidesi.mx/comprobantes/2021/CQ2100543 /C2F337643845_CCO8605231N4.xml</v>
      </c>
      <c r="AP531" t="s">
        <v>1017</v>
      </c>
      <c r="AQ531" t="s">
        <v>1018</v>
      </c>
      <c r="AR531" t="s">
        <v>1019</v>
      </c>
      <c r="AS531" t="s">
        <v>1020</v>
      </c>
      <c r="AT531" s="1">
        <v>44399</v>
      </c>
      <c r="AU531" s="1">
        <v>44403</v>
      </c>
    </row>
    <row r="532" spans="1:47" x14ac:dyDescent="0.3">
      <c r="A532" t="s">
        <v>47</v>
      </c>
      <c r="B532" t="s">
        <v>224</v>
      </c>
      <c r="C532" t="s">
        <v>225</v>
      </c>
      <c r="D532">
        <v>656</v>
      </c>
      <c r="E532" t="s">
        <v>1011</v>
      </c>
      <c r="F532" t="s">
        <v>912</v>
      </c>
      <c r="G532" t="s">
        <v>1012</v>
      </c>
      <c r="H532" t="s">
        <v>1025</v>
      </c>
      <c r="I532" t="s">
        <v>54</v>
      </c>
      <c r="J532" t="s">
        <v>1026</v>
      </c>
      <c r="K532" t="s">
        <v>56</v>
      </c>
      <c r="L532">
        <v>0</v>
      </c>
      <c r="M532" t="s">
        <v>73</v>
      </c>
      <c r="N532">
        <v>0</v>
      </c>
      <c r="O532" t="s">
        <v>58</v>
      </c>
      <c r="P532" t="s">
        <v>59</v>
      </c>
      <c r="Q532" t="s">
        <v>297</v>
      </c>
      <c r="R532" t="s">
        <v>1026</v>
      </c>
      <c r="S532" s="1">
        <v>44403</v>
      </c>
      <c r="T532" s="1">
        <v>44407</v>
      </c>
      <c r="U532">
        <v>37501</v>
      </c>
      <c r="V532" t="s">
        <v>61</v>
      </c>
      <c r="W532" t="s">
        <v>1027</v>
      </c>
      <c r="X532" s="1">
        <v>44407</v>
      </c>
      <c r="Y532" t="s">
        <v>63</v>
      </c>
      <c r="Z532">
        <v>208.62</v>
      </c>
      <c r="AA532">
        <v>16</v>
      </c>
      <c r="AB532">
        <v>33.380000000000003</v>
      </c>
      <c r="AC532">
        <v>26</v>
      </c>
      <c r="AD532">
        <v>268</v>
      </c>
      <c r="AE532">
        <v>2913.36</v>
      </c>
      <c r="AF532">
        <v>4909</v>
      </c>
      <c r="AG532" t="s">
        <v>1016</v>
      </c>
      <c r="AH532" t="s">
        <v>65</v>
      </c>
      <c r="AI532" t="s">
        <v>65</v>
      </c>
      <c r="AJ532" t="s">
        <v>66</v>
      </c>
      <c r="AK532" t="s">
        <v>66</v>
      </c>
      <c r="AL532" t="s">
        <v>66</v>
      </c>
      <c r="AM532" s="2" t="str">
        <f>HYPERLINK("https://transparencia.cidesi.mx/comprobantes/2021/CQ2100576 /C1F30813_NDG071019LH4.pdf")</f>
        <v>https://transparencia.cidesi.mx/comprobantes/2021/CQ2100576 /C1F30813_NDG071019LH4.pdf</v>
      </c>
      <c r="AN532" t="str">
        <f>HYPERLINK("https://transparencia.cidesi.mx/comprobantes/2021/CQ2100576 /C1F30813_NDG071019LH4.pdf")</f>
        <v>https://transparencia.cidesi.mx/comprobantes/2021/CQ2100576 /C1F30813_NDG071019LH4.pdf</v>
      </c>
      <c r="AO532" t="str">
        <f>HYPERLINK("https://transparencia.cidesi.mx/comprobantes/2021/CQ2100576 /C1F30813_NDG071019LH4.xml")</f>
        <v>https://transparencia.cidesi.mx/comprobantes/2021/CQ2100576 /C1F30813_NDG071019LH4.xml</v>
      </c>
      <c r="AP532" t="s">
        <v>1028</v>
      </c>
      <c r="AQ532" t="s">
        <v>1029</v>
      </c>
      <c r="AR532" t="s">
        <v>1030</v>
      </c>
      <c r="AS532" t="s">
        <v>1031</v>
      </c>
      <c r="AT532" s="1">
        <v>44417</v>
      </c>
      <c r="AU532" s="1">
        <v>44424</v>
      </c>
    </row>
    <row r="533" spans="1:47" x14ac:dyDescent="0.3">
      <c r="A533" t="s">
        <v>47</v>
      </c>
      <c r="B533" t="s">
        <v>224</v>
      </c>
      <c r="C533" t="s">
        <v>225</v>
      </c>
      <c r="D533">
        <v>656</v>
      </c>
      <c r="E533" t="s">
        <v>1011</v>
      </c>
      <c r="F533" t="s">
        <v>912</v>
      </c>
      <c r="G533" t="s">
        <v>1012</v>
      </c>
      <c r="H533" t="s">
        <v>1025</v>
      </c>
      <c r="I533" t="s">
        <v>54</v>
      </c>
      <c r="J533" t="s">
        <v>1026</v>
      </c>
      <c r="K533" t="s">
        <v>56</v>
      </c>
      <c r="L533">
        <v>0</v>
      </c>
      <c r="M533" t="s">
        <v>73</v>
      </c>
      <c r="N533">
        <v>0</v>
      </c>
      <c r="O533" t="s">
        <v>58</v>
      </c>
      <c r="P533" t="s">
        <v>59</v>
      </c>
      <c r="Q533" t="s">
        <v>297</v>
      </c>
      <c r="R533" t="s">
        <v>1026</v>
      </c>
      <c r="S533" s="1">
        <v>44403</v>
      </c>
      <c r="T533" s="1">
        <v>44407</v>
      </c>
      <c r="U533">
        <v>37501</v>
      </c>
      <c r="V533" t="s">
        <v>61</v>
      </c>
      <c r="W533" t="s">
        <v>1027</v>
      </c>
      <c r="X533" s="1">
        <v>44407</v>
      </c>
      <c r="Y533" t="s">
        <v>63</v>
      </c>
      <c r="Z533">
        <v>212.93</v>
      </c>
      <c r="AA533">
        <v>16</v>
      </c>
      <c r="AB533">
        <v>34.07</v>
      </c>
      <c r="AC533">
        <v>25</v>
      </c>
      <c r="AD533">
        <v>272</v>
      </c>
      <c r="AE533">
        <v>2913.36</v>
      </c>
      <c r="AF533">
        <v>4909</v>
      </c>
      <c r="AG533" t="s">
        <v>1016</v>
      </c>
      <c r="AH533" t="s">
        <v>65</v>
      </c>
      <c r="AI533" t="s">
        <v>65</v>
      </c>
      <c r="AJ533" t="s">
        <v>66</v>
      </c>
      <c r="AK533" t="s">
        <v>66</v>
      </c>
      <c r="AL533" t="s">
        <v>66</v>
      </c>
      <c r="AM533" s="2" t="str">
        <f>HYPERLINK("https://transparencia.cidesi.mx/comprobantes/2021/CQ2100576 /C2F43362_ADI780127UHA.pdf")</f>
        <v>https://transparencia.cidesi.mx/comprobantes/2021/CQ2100576 /C2F43362_ADI780127UHA.pdf</v>
      </c>
      <c r="AN533" t="str">
        <f>HYPERLINK("https://transparencia.cidesi.mx/comprobantes/2021/CQ2100576 /C2F43362_ADI780127UHA.pdf")</f>
        <v>https://transparencia.cidesi.mx/comprobantes/2021/CQ2100576 /C2F43362_ADI780127UHA.pdf</v>
      </c>
      <c r="AO533" t="str">
        <f>HYPERLINK("https://transparencia.cidesi.mx/comprobantes/2021/CQ2100576 /C2F43362_ADI780127UHA.xml")</f>
        <v>https://transparencia.cidesi.mx/comprobantes/2021/CQ2100576 /C2F43362_ADI780127UHA.xml</v>
      </c>
      <c r="AP533" t="s">
        <v>1028</v>
      </c>
      <c r="AQ533" t="s">
        <v>1029</v>
      </c>
      <c r="AR533" t="s">
        <v>1030</v>
      </c>
      <c r="AS533" t="s">
        <v>1031</v>
      </c>
      <c r="AT533" s="1">
        <v>44417</v>
      </c>
      <c r="AU533" s="1">
        <v>44424</v>
      </c>
    </row>
    <row r="534" spans="1:47" x14ac:dyDescent="0.3">
      <c r="A534" t="s">
        <v>47</v>
      </c>
      <c r="B534" t="s">
        <v>224</v>
      </c>
      <c r="C534" t="s">
        <v>225</v>
      </c>
      <c r="D534">
        <v>656</v>
      </c>
      <c r="E534" t="s">
        <v>1011</v>
      </c>
      <c r="F534" t="s">
        <v>912</v>
      </c>
      <c r="G534" t="s">
        <v>1012</v>
      </c>
      <c r="H534" t="s">
        <v>1025</v>
      </c>
      <c r="I534" t="s">
        <v>54</v>
      </c>
      <c r="J534" t="s">
        <v>1026</v>
      </c>
      <c r="K534" t="s">
        <v>56</v>
      </c>
      <c r="L534">
        <v>0</v>
      </c>
      <c r="M534" t="s">
        <v>73</v>
      </c>
      <c r="N534">
        <v>0</v>
      </c>
      <c r="O534" t="s">
        <v>58</v>
      </c>
      <c r="P534" t="s">
        <v>59</v>
      </c>
      <c r="Q534" t="s">
        <v>297</v>
      </c>
      <c r="R534" t="s">
        <v>1026</v>
      </c>
      <c r="S534" s="1">
        <v>44403</v>
      </c>
      <c r="T534" s="1">
        <v>44407</v>
      </c>
      <c r="U534">
        <v>37501</v>
      </c>
      <c r="V534" t="s">
        <v>61</v>
      </c>
      <c r="W534" t="s">
        <v>1027</v>
      </c>
      <c r="X534" s="1">
        <v>44407</v>
      </c>
      <c r="Y534" t="s">
        <v>63</v>
      </c>
      <c r="Z534">
        <v>181.03</v>
      </c>
      <c r="AA534">
        <v>16</v>
      </c>
      <c r="AB534">
        <v>28.97</v>
      </c>
      <c r="AC534">
        <v>21</v>
      </c>
      <c r="AD534">
        <v>231</v>
      </c>
      <c r="AE534">
        <v>2913.36</v>
      </c>
      <c r="AF534">
        <v>4909</v>
      </c>
      <c r="AG534" t="s">
        <v>1016</v>
      </c>
      <c r="AH534" t="s">
        <v>65</v>
      </c>
      <c r="AI534" t="s">
        <v>65</v>
      </c>
      <c r="AJ534" t="s">
        <v>66</v>
      </c>
      <c r="AK534" t="s">
        <v>66</v>
      </c>
      <c r="AL534" t="s">
        <v>66</v>
      </c>
      <c r="AM534" s="2" t="str">
        <f>HYPERLINK("https://transparencia.cidesi.mx/comprobantes/2021/CQ2100576 /C3F162043_SLE0008119 V5.pdf")</f>
        <v>https://transparencia.cidesi.mx/comprobantes/2021/CQ2100576 /C3F162043_SLE0008119 V5.pdf</v>
      </c>
      <c r="AN534" t="str">
        <f>HYPERLINK("https://transparencia.cidesi.mx/comprobantes/2021/CQ2100576 /C3F162043_SLE0008119 V5.pdf")</f>
        <v>https://transparencia.cidesi.mx/comprobantes/2021/CQ2100576 /C3F162043_SLE0008119 V5.pdf</v>
      </c>
      <c r="AO534" t="str">
        <f>HYPERLINK("https://transparencia.cidesi.mx/comprobantes/2021/CQ2100576 /C3F162043_SLE0008119 V5.xml")</f>
        <v>https://transparencia.cidesi.mx/comprobantes/2021/CQ2100576 /C3F162043_SLE0008119 V5.xml</v>
      </c>
      <c r="AP534" t="s">
        <v>1028</v>
      </c>
      <c r="AQ534" t="s">
        <v>1029</v>
      </c>
      <c r="AR534" t="s">
        <v>1030</v>
      </c>
      <c r="AS534" t="s">
        <v>1031</v>
      </c>
      <c r="AT534" s="1">
        <v>44417</v>
      </c>
      <c r="AU534" s="1">
        <v>44424</v>
      </c>
    </row>
    <row r="535" spans="1:47" x14ac:dyDescent="0.3">
      <c r="A535" t="s">
        <v>47</v>
      </c>
      <c r="B535" t="s">
        <v>224</v>
      </c>
      <c r="C535" t="s">
        <v>225</v>
      </c>
      <c r="D535">
        <v>656</v>
      </c>
      <c r="E535" t="s">
        <v>1011</v>
      </c>
      <c r="F535" t="s">
        <v>912</v>
      </c>
      <c r="G535" t="s">
        <v>1012</v>
      </c>
      <c r="H535" t="s">
        <v>1025</v>
      </c>
      <c r="I535" t="s">
        <v>54</v>
      </c>
      <c r="J535" t="s">
        <v>1026</v>
      </c>
      <c r="K535" t="s">
        <v>56</v>
      </c>
      <c r="L535">
        <v>0</v>
      </c>
      <c r="M535" t="s">
        <v>73</v>
      </c>
      <c r="N535">
        <v>0</v>
      </c>
      <c r="O535" t="s">
        <v>58</v>
      </c>
      <c r="P535" t="s">
        <v>59</v>
      </c>
      <c r="Q535" t="s">
        <v>297</v>
      </c>
      <c r="R535" t="s">
        <v>1026</v>
      </c>
      <c r="S535" s="1">
        <v>44403</v>
      </c>
      <c r="T535" s="1">
        <v>44407</v>
      </c>
      <c r="U535">
        <v>37501</v>
      </c>
      <c r="V535" t="s">
        <v>61</v>
      </c>
      <c r="W535" t="s">
        <v>1027</v>
      </c>
      <c r="X535" s="1">
        <v>44407</v>
      </c>
      <c r="Y535" t="s">
        <v>63</v>
      </c>
      <c r="Z535">
        <v>201.72</v>
      </c>
      <c r="AA535">
        <v>16</v>
      </c>
      <c r="AB535">
        <v>32.28</v>
      </c>
      <c r="AC535">
        <v>23.4</v>
      </c>
      <c r="AD535">
        <v>257.39999999999998</v>
      </c>
      <c r="AE535">
        <v>2913.36</v>
      </c>
      <c r="AF535">
        <v>4909</v>
      </c>
      <c r="AG535" t="s">
        <v>1016</v>
      </c>
      <c r="AH535" t="s">
        <v>65</v>
      </c>
      <c r="AI535" t="s">
        <v>65</v>
      </c>
      <c r="AJ535" t="s">
        <v>66</v>
      </c>
      <c r="AK535" t="s">
        <v>66</v>
      </c>
      <c r="AL535" t="s">
        <v>66</v>
      </c>
      <c r="AM535" s="2" t="str">
        <f>HYPERLINK("https://transparencia.cidesi.mx/comprobantes/2021/CQ2100576 /C4F175848_NPA09 0803AM4.pdf")</f>
        <v>https://transparencia.cidesi.mx/comprobantes/2021/CQ2100576 /C4F175848_NPA09 0803AM4.pdf</v>
      </c>
      <c r="AN535" t="str">
        <f>HYPERLINK("https://transparencia.cidesi.mx/comprobantes/2021/CQ2100576 /C4F175848_NPA09 0803AM4.pdf")</f>
        <v>https://transparencia.cidesi.mx/comprobantes/2021/CQ2100576 /C4F175848_NPA09 0803AM4.pdf</v>
      </c>
      <c r="AO535" t="str">
        <f>HYPERLINK("https://transparencia.cidesi.mx/comprobantes/2021/CQ2100576 /C4F175848_NPA09 0803AM4.xml")</f>
        <v>https://transparencia.cidesi.mx/comprobantes/2021/CQ2100576 /C4F175848_NPA09 0803AM4.xml</v>
      </c>
      <c r="AP535" t="s">
        <v>1028</v>
      </c>
      <c r="AQ535" t="s">
        <v>1029</v>
      </c>
      <c r="AR535" t="s">
        <v>1030</v>
      </c>
      <c r="AS535" t="s">
        <v>1031</v>
      </c>
      <c r="AT535" s="1">
        <v>44417</v>
      </c>
      <c r="AU535" s="1">
        <v>44424</v>
      </c>
    </row>
    <row r="536" spans="1:47" x14ac:dyDescent="0.3">
      <c r="A536" t="s">
        <v>47</v>
      </c>
      <c r="B536" t="s">
        <v>224</v>
      </c>
      <c r="C536" t="s">
        <v>225</v>
      </c>
      <c r="D536">
        <v>656</v>
      </c>
      <c r="E536" t="s">
        <v>1011</v>
      </c>
      <c r="F536" t="s">
        <v>912</v>
      </c>
      <c r="G536" t="s">
        <v>1012</v>
      </c>
      <c r="H536" t="s">
        <v>1025</v>
      </c>
      <c r="I536" t="s">
        <v>54</v>
      </c>
      <c r="J536" t="s">
        <v>1026</v>
      </c>
      <c r="K536" t="s">
        <v>56</v>
      </c>
      <c r="L536">
        <v>0</v>
      </c>
      <c r="M536" t="s">
        <v>73</v>
      </c>
      <c r="N536">
        <v>0</v>
      </c>
      <c r="O536" t="s">
        <v>58</v>
      </c>
      <c r="P536" t="s">
        <v>59</v>
      </c>
      <c r="Q536" t="s">
        <v>297</v>
      </c>
      <c r="R536" t="s">
        <v>1026</v>
      </c>
      <c r="S536" s="1">
        <v>44403</v>
      </c>
      <c r="T536" s="1">
        <v>44407</v>
      </c>
      <c r="U536">
        <v>37501</v>
      </c>
      <c r="V536" t="s">
        <v>104</v>
      </c>
      <c r="W536" t="s">
        <v>1027</v>
      </c>
      <c r="X536" s="1">
        <v>44407</v>
      </c>
      <c r="Y536" t="s">
        <v>63</v>
      </c>
      <c r="Z536">
        <v>1631.52</v>
      </c>
      <c r="AA536">
        <v>16</v>
      </c>
      <c r="AB536">
        <v>253.44</v>
      </c>
      <c r="AC536">
        <v>0</v>
      </c>
      <c r="AD536">
        <v>1884.96</v>
      </c>
      <c r="AE536">
        <v>2913.36</v>
      </c>
      <c r="AF536">
        <v>4909</v>
      </c>
      <c r="AG536" t="s">
        <v>1032</v>
      </c>
      <c r="AH536" t="s">
        <v>65</v>
      </c>
      <c r="AI536" t="s">
        <v>65</v>
      </c>
      <c r="AJ536" t="s">
        <v>66</v>
      </c>
      <c r="AK536" t="s">
        <v>66</v>
      </c>
      <c r="AL536" t="s">
        <v>66</v>
      </c>
      <c r="AM536" s="2" t="str">
        <f>HYPERLINK("https://transparencia.cidesi.mx/comprobantes/2021/CQ2100576 /C5F1106_OHP160328C64.pdf")</f>
        <v>https://transparencia.cidesi.mx/comprobantes/2021/CQ2100576 /C5F1106_OHP160328C64.pdf</v>
      </c>
      <c r="AN536" t="str">
        <f>HYPERLINK("https://transparencia.cidesi.mx/comprobantes/2021/CQ2100576 /C5F1106_OHP160328C64.pdf")</f>
        <v>https://transparencia.cidesi.mx/comprobantes/2021/CQ2100576 /C5F1106_OHP160328C64.pdf</v>
      </c>
      <c r="AO536" t="str">
        <f>HYPERLINK("https://transparencia.cidesi.mx/comprobantes/2021/CQ2100576 /C5F1106_OHP160328C64.xml")</f>
        <v>https://transparencia.cidesi.mx/comprobantes/2021/CQ2100576 /C5F1106_OHP160328C64.xml</v>
      </c>
      <c r="AP536" t="s">
        <v>1028</v>
      </c>
      <c r="AQ536" t="s">
        <v>1029</v>
      </c>
      <c r="AR536" t="s">
        <v>1030</v>
      </c>
      <c r="AS536" t="s">
        <v>1031</v>
      </c>
      <c r="AT536" s="1">
        <v>44417</v>
      </c>
      <c r="AU536" s="1">
        <v>44424</v>
      </c>
    </row>
    <row r="537" spans="1:47" x14ac:dyDescent="0.3">
      <c r="A537" t="s">
        <v>47</v>
      </c>
      <c r="B537" t="s">
        <v>224</v>
      </c>
      <c r="C537" t="s">
        <v>225</v>
      </c>
      <c r="D537">
        <v>656</v>
      </c>
      <c r="E537" t="s">
        <v>1011</v>
      </c>
      <c r="F537" t="s">
        <v>912</v>
      </c>
      <c r="G537" t="s">
        <v>1012</v>
      </c>
      <c r="H537" t="s">
        <v>1033</v>
      </c>
      <c r="I537" t="s">
        <v>54</v>
      </c>
      <c r="J537" t="s">
        <v>1034</v>
      </c>
      <c r="K537" t="s">
        <v>56</v>
      </c>
      <c r="L537">
        <v>0</v>
      </c>
      <c r="M537" t="s">
        <v>73</v>
      </c>
      <c r="N537">
        <v>0</v>
      </c>
      <c r="O537" t="s">
        <v>58</v>
      </c>
      <c r="P537" t="s">
        <v>59</v>
      </c>
      <c r="Q537" t="s">
        <v>252</v>
      </c>
      <c r="R537" t="s">
        <v>1034</v>
      </c>
      <c r="S537" s="1">
        <v>44439</v>
      </c>
      <c r="T537" s="1">
        <v>44439</v>
      </c>
      <c r="U537">
        <v>37501</v>
      </c>
      <c r="V537" t="s">
        <v>61</v>
      </c>
      <c r="W537" t="s">
        <v>1035</v>
      </c>
      <c r="X537" s="1">
        <v>44441</v>
      </c>
      <c r="Y537" t="s">
        <v>63</v>
      </c>
      <c r="Z537">
        <v>344.83</v>
      </c>
      <c r="AA537">
        <v>16</v>
      </c>
      <c r="AB537">
        <v>55.17</v>
      </c>
      <c r="AC537">
        <v>40</v>
      </c>
      <c r="AD537">
        <v>440</v>
      </c>
      <c r="AE537">
        <v>543.5</v>
      </c>
      <c r="AF537">
        <v>545</v>
      </c>
      <c r="AG537" t="s">
        <v>1016</v>
      </c>
      <c r="AH537" t="s">
        <v>65</v>
      </c>
      <c r="AI537" t="s">
        <v>65</v>
      </c>
      <c r="AJ537" t="s">
        <v>66</v>
      </c>
      <c r="AK537" t="s">
        <v>66</v>
      </c>
      <c r="AL537" t="s">
        <v>66</v>
      </c>
      <c r="AM537" s="2" t="str">
        <f>HYPERLINK("https://transparencia.cidesi.mx/comprobantes/2021/CQ2100726 /C1F90795_GEX0108298K9.pdf")</f>
        <v>https://transparencia.cidesi.mx/comprobantes/2021/CQ2100726 /C1F90795_GEX0108298K9.pdf</v>
      </c>
      <c r="AN537" t="str">
        <f>HYPERLINK("https://transparencia.cidesi.mx/comprobantes/2021/CQ2100726 /C1F90795_GEX0108298K9.pdf")</f>
        <v>https://transparencia.cidesi.mx/comprobantes/2021/CQ2100726 /C1F90795_GEX0108298K9.pdf</v>
      </c>
      <c r="AO537" t="str">
        <f>HYPERLINK("https://transparencia.cidesi.mx/comprobantes/2021/CQ2100726 /C1F90795_GEX0108298K9.xml")</f>
        <v>https://transparencia.cidesi.mx/comprobantes/2021/CQ2100726 /C1F90795_GEX0108298K9.xml</v>
      </c>
      <c r="AP537" t="s">
        <v>1036</v>
      </c>
      <c r="AQ537" t="s">
        <v>1037</v>
      </c>
      <c r="AR537" t="s">
        <v>1038</v>
      </c>
      <c r="AS537" t="s">
        <v>1039</v>
      </c>
      <c r="AT537" s="1">
        <v>44441</v>
      </c>
      <c r="AU537" s="1">
        <v>44442</v>
      </c>
    </row>
    <row r="538" spans="1:47" x14ac:dyDescent="0.3">
      <c r="A538" t="s">
        <v>47</v>
      </c>
      <c r="B538" t="s">
        <v>224</v>
      </c>
      <c r="C538" t="s">
        <v>225</v>
      </c>
      <c r="D538">
        <v>656</v>
      </c>
      <c r="E538" t="s">
        <v>1011</v>
      </c>
      <c r="F538" t="s">
        <v>912</v>
      </c>
      <c r="G538" t="s">
        <v>1012</v>
      </c>
      <c r="H538" t="s">
        <v>1033</v>
      </c>
      <c r="I538" t="s">
        <v>54</v>
      </c>
      <c r="J538" t="s">
        <v>1034</v>
      </c>
      <c r="K538" t="s">
        <v>56</v>
      </c>
      <c r="L538">
        <v>0</v>
      </c>
      <c r="M538" t="s">
        <v>73</v>
      </c>
      <c r="N538">
        <v>0</v>
      </c>
      <c r="O538" t="s">
        <v>58</v>
      </c>
      <c r="P538" t="s">
        <v>59</v>
      </c>
      <c r="Q538" t="s">
        <v>252</v>
      </c>
      <c r="R538" t="s">
        <v>1034</v>
      </c>
      <c r="S538" s="1">
        <v>44439</v>
      </c>
      <c r="T538" s="1">
        <v>44439</v>
      </c>
      <c r="U538">
        <v>37501</v>
      </c>
      <c r="V538" t="s">
        <v>61</v>
      </c>
      <c r="W538" t="s">
        <v>1035</v>
      </c>
      <c r="X538" s="1">
        <v>44441</v>
      </c>
      <c r="Y538" t="s">
        <v>63</v>
      </c>
      <c r="Z538">
        <v>99.91</v>
      </c>
      <c r="AA538">
        <v>16</v>
      </c>
      <c r="AB538">
        <v>3.59</v>
      </c>
      <c r="AC538">
        <v>0</v>
      </c>
      <c r="AD538">
        <v>103.5</v>
      </c>
      <c r="AE538">
        <v>543.5</v>
      </c>
      <c r="AF538">
        <v>545</v>
      </c>
      <c r="AG538" t="s">
        <v>1016</v>
      </c>
      <c r="AH538" t="s">
        <v>65</v>
      </c>
      <c r="AI538" t="s">
        <v>65</v>
      </c>
      <c r="AJ538" t="s">
        <v>66</v>
      </c>
      <c r="AK538" t="s">
        <v>66</v>
      </c>
      <c r="AL538" t="s">
        <v>66</v>
      </c>
      <c r="AM538" s="2" t="str">
        <f>HYPERLINK("https://transparencia.cidesi.mx/comprobantes/2021/CQ2100726 /C2F343553169_CCO8605231N4.pdf")</f>
        <v>https://transparencia.cidesi.mx/comprobantes/2021/CQ2100726 /C2F343553169_CCO8605231N4.pdf</v>
      </c>
      <c r="AN538" t="str">
        <f>HYPERLINK("https://transparencia.cidesi.mx/comprobantes/2021/CQ2100726 /C2F343553169_CCO8605231N4.pdf")</f>
        <v>https://transparencia.cidesi.mx/comprobantes/2021/CQ2100726 /C2F343553169_CCO8605231N4.pdf</v>
      </c>
      <c r="AO538" t="str">
        <f>HYPERLINK("https://transparencia.cidesi.mx/comprobantes/2021/CQ2100726 /C2F343553169_CCO8605231N4.xml")</f>
        <v>https://transparencia.cidesi.mx/comprobantes/2021/CQ2100726 /C2F343553169_CCO8605231N4.xml</v>
      </c>
      <c r="AP538" t="s">
        <v>1036</v>
      </c>
      <c r="AQ538" t="s">
        <v>1037</v>
      </c>
      <c r="AR538" t="s">
        <v>1038</v>
      </c>
      <c r="AS538" t="s">
        <v>1039</v>
      </c>
      <c r="AT538" s="1">
        <v>44441</v>
      </c>
      <c r="AU538" s="1">
        <v>44442</v>
      </c>
    </row>
    <row r="539" spans="1:47" x14ac:dyDescent="0.3">
      <c r="A539" t="s">
        <v>47</v>
      </c>
      <c r="B539" t="s">
        <v>224</v>
      </c>
      <c r="C539" t="s">
        <v>225</v>
      </c>
      <c r="D539">
        <v>656</v>
      </c>
      <c r="E539" t="s">
        <v>1011</v>
      </c>
      <c r="F539" t="s">
        <v>912</v>
      </c>
      <c r="G539" t="s">
        <v>1012</v>
      </c>
      <c r="H539" t="s">
        <v>1040</v>
      </c>
      <c r="I539" t="s">
        <v>54</v>
      </c>
      <c r="J539" t="s">
        <v>1041</v>
      </c>
      <c r="K539" t="s">
        <v>56</v>
      </c>
      <c r="L539">
        <v>0</v>
      </c>
      <c r="M539" t="s">
        <v>73</v>
      </c>
      <c r="N539">
        <v>0</v>
      </c>
      <c r="O539" t="s">
        <v>58</v>
      </c>
      <c r="P539" t="s">
        <v>59</v>
      </c>
      <c r="Q539" t="s">
        <v>1042</v>
      </c>
      <c r="R539" t="s">
        <v>1041</v>
      </c>
      <c r="S539" s="1">
        <v>44441</v>
      </c>
      <c r="T539" s="1">
        <v>44445</v>
      </c>
      <c r="U539">
        <v>37501</v>
      </c>
      <c r="V539" t="s">
        <v>61</v>
      </c>
      <c r="W539" t="s">
        <v>1043</v>
      </c>
      <c r="X539" s="1">
        <v>44450</v>
      </c>
      <c r="Y539" t="s">
        <v>63</v>
      </c>
      <c r="Z539">
        <v>53.42</v>
      </c>
      <c r="AA539">
        <v>16</v>
      </c>
      <c r="AB539">
        <v>4.6399999999999997</v>
      </c>
      <c r="AC539">
        <v>0</v>
      </c>
      <c r="AD539">
        <v>58.06</v>
      </c>
      <c r="AE539">
        <v>4229.62</v>
      </c>
      <c r="AF539">
        <v>4909</v>
      </c>
      <c r="AG539" t="s">
        <v>1016</v>
      </c>
      <c r="AH539" t="s">
        <v>65</v>
      </c>
      <c r="AI539" t="s">
        <v>65</v>
      </c>
      <c r="AJ539" t="s">
        <v>66</v>
      </c>
      <c r="AK539" t="s">
        <v>66</v>
      </c>
      <c r="AL539" t="s">
        <v>66</v>
      </c>
      <c r="AM539" s="2" t="str">
        <f>HYPERLINK("https://transparencia.cidesi.mx/comprobantes/2021/CQ2100784 /C1F1423_VSR151221UL2.pdf")</f>
        <v>https://transparencia.cidesi.mx/comprobantes/2021/CQ2100784 /C1F1423_VSR151221UL2.pdf</v>
      </c>
      <c r="AN539" t="str">
        <f>HYPERLINK("https://transparencia.cidesi.mx/comprobantes/2021/CQ2100784 /C1F1423_VSR151221UL2.pdf")</f>
        <v>https://transparencia.cidesi.mx/comprobantes/2021/CQ2100784 /C1F1423_VSR151221UL2.pdf</v>
      </c>
      <c r="AO539" t="str">
        <f>HYPERLINK("https://transparencia.cidesi.mx/comprobantes/2021/CQ2100784 /C1F1423_VSR151221UL2.xml")</f>
        <v>https://transparencia.cidesi.mx/comprobantes/2021/CQ2100784 /C1F1423_VSR151221UL2.xml</v>
      </c>
      <c r="AP539" t="s">
        <v>1044</v>
      </c>
      <c r="AQ539" t="s">
        <v>1045</v>
      </c>
      <c r="AR539" t="s">
        <v>1046</v>
      </c>
      <c r="AS539" t="s">
        <v>1031</v>
      </c>
      <c r="AT539" s="1">
        <v>44453</v>
      </c>
      <c r="AU539" s="1">
        <v>44467</v>
      </c>
    </row>
    <row r="540" spans="1:47" x14ac:dyDescent="0.3">
      <c r="A540" t="s">
        <v>47</v>
      </c>
      <c r="B540" t="s">
        <v>224</v>
      </c>
      <c r="C540" t="s">
        <v>225</v>
      </c>
      <c r="D540">
        <v>656</v>
      </c>
      <c r="E540" t="s">
        <v>1011</v>
      </c>
      <c r="F540" t="s">
        <v>912</v>
      </c>
      <c r="G540" t="s">
        <v>1012</v>
      </c>
      <c r="H540" t="s">
        <v>1040</v>
      </c>
      <c r="I540" t="s">
        <v>54</v>
      </c>
      <c r="J540" t="s">
        <v>1041</v>
      </c>
      <c r="K540" t="s">
        <v>56</v>
      </c>
      <c r="L540">
        <v>0</v>
      </c>
      <c r="M540" t="s">
        <v>73</v>
      </c>
      <c r="N540">
        <v>0</v>
      </c>
      <c r="O540" t="s">
        <v>58</v>
      </c>
      <c r="P540" t="s">
        <v>59</v>
      </c>
      <c r="Q540" t="s">
        <v>1042</v>
      </c>
      <c r="R540" t="s">
        <v>1041</v>
      </c>
      <c r="S540" s="1">
        <v>44441</v>
      </c>
      <c r="T540" s="1">
        <v>44445</v>
      </c>
      <c r="U540">
        <v>37501</v>
      </c>
      <c r="V540" t="s">
        <v>61</v>
      </c>
      <c r="W540" t="s">
        <v>1043</v>
      </c>
      <c r="X540" s="1">
        <v>44450</v>
      </c>
      <c r="Y540" t="s">
        <v>63</v>
      </c>
      <c r="Z540">
        <v>214.66</v>
      </c>
      <c r="AA540">
        <v>16</v>
      </c>
      <c r="AB540">
        <v>34.35</v>
      </c>
      <c r="AC540">
        <v>29</v>
      </c>
      <c r="AD540">
        <v>278.01</v>
      </c>
      <c r="AE540">
        <v>4229.62</v>
      </c>
      <c r="AF540">
        <v>4909</v>
      </c>
      <c r="AG540" t="s">
        <v>1016</v>
      </c>
      <c r="AH540" t="s">
        <v>65</v>
      </c>
      <c r="AI540" t="s">
        <v>65</v>
      </c>
      <c r="AJ540" t="s">
        <v>66</v>
      </c>
      <c r="AK540" t="s">
        <v>66</v>
      </c>
      <c r="AL540" t="s">
        <v>66</v>
      </c>
      <c r="AM540" s="2" t="str">
        <f>HYPERLINK("https://transparencia.cidesi.mx/comprobantes/2021/CQ2100784 /C2F1882_BUCD481215LD2.pdf")</f>
        <v>https://transparencia.cidesi.mx/comprobantes/2021/CQ2100784 /C2F1882_BUCD481215LD2.pdf</v>
      </c>
      <c r="AN540" t="str">
        <f>HYPERLINK("https://transparencia.cidesi.mx/comprobantes/2021/CQ2100784 /C2F1882_BUCD481215LD2.pdf")</f>
        <v>https://transparencia.cidesi.mx/comprobantes/2021/CQ2100784 /C2F1882_BUCD481215LD2.pdf</v>
      </c>
      <c r="AO540" t="str">
        <f>HYPERLINK("https://transparencia.cidesi.mx/comprobantes/2021/CQ2100784 /C2F1882_BUCD481215LD2.xml")</f>
        <v>https://transparencia.cidesi.mx/comprobantes/2021/CQ2100784 /C2F1882_BUCD481215LD2.xml</v>
      </c>
      <c r="AP540" t="s">
        <v>1044</v>
      </c>
      <c r="AQ540" t="s">
        <v>1045</v>
      </c>
      <c r="AR540" t="s">
        <v>1046</v>
      </c>
      <c r="AS540" t="s">
        <v>1031</v>
      </c>
      <c r="AT540" s="1">
        <v>44453</v>
      </c>
      <c r="AU540" s="1">
        <v>44467</v>
      </c>
    </row>
    <row r="541" spans="1:47" x14ac:dyDescent="0.3">
      <c r="A541" t="s">
        <v>47</v>
      </c>
      <c r="B541" t="s">
        <v>224</v>
      </c>
      <c r="C541" t="s">
        <v>225</v>
      </c>
      <c r="D541">
        <v>656</v>
      </c>
      <c r="E541" t="s">
        <v>1011</v>
      </c>
      <c r="F541" t="s">
        <v>912</v>
      </c>
      <c r="G541" t="s">
        <v>1012</v>
      </c>
      <c r="H541" t="s">
        <v>1040</v>
      </c>
      <c r="I541" t="s">
        <v>54</v>
      </c>
      <c r="J541" t="s">
        <v>1041</v>
      </c>
      <c r="K541" t="s">
        <v>56</v>
      </c>
      <c r="L541">
        <v>0</v>
      </c>
      <c r="M541" t="s">
        <v>73</v>
      </c>
      <c r="N541">
        <v>0</v>
      </c>
      <c r="O541" t="s">
        <v>58</v>
      </c>
      <c r="P541" t="s">
        <v>59</v>
      </c>
      <c r="Q541" t="s">
        <v>1042</v>
      </c>
      <c r="R541" t="s">
        <v>1041</v>
      </c>
      <c r="S541" s="1">
        <v>44441</v>
      </c>
      <c r="T541" s="1">
        <v>44445</v>
      </c>
      <c r="U541">
        <v>37501</v>
      </c>
      <c r="V541" t="s">
        <v>61</v>
      </c>
      <c r="W541" t="s">
        <v>1043</v>
      </c>
      <c r="X541" s="1">
        <v>44450</v>
      </c>
      <c r="Y541" t="s">
        <v>63</v>
      </c>
      <c r="Z541">
        <v>231.6</v>
      </c>
      <c r="AA541">
        <v>16</v>
      </c>
      <c r="AB541">
        <v>37.06</v>
      </c>
      <c r="AC541">
        <v>26.87</v>
      </c>
      <c r="AD541">
        <v>295.52999999999997</v>
      </c>
      <c r="AE541">
        <v>4229.62</v>
      </c>
      <c r="AF541">
        <v>4909</v>
      </c>
      <c r="AG541" t="s">
        <v>1016</v>
      </c>
      <c r="AH541" t="s">
        <v>65</v>
      </c>
      <c r="AI541" t="s">
        <v>65</v>
      </c>
      <c r="AJ541" t="s">
        <v>66</v>
      </c>
      <c r="AK541" t="s">
        <v>66</v>
      </c>
      <c r="AL541" t="s">
        <v>66</v>
      </c>
      <c r="AM541" s="2" t="str">
        <f>HYPERLINK("https://transparencia.cidesi.mx/comprobantes/2021/CQ2100784 /C3F15488_GAMS580603AQA.pdf")</f>
        <v>https://transparencia.cidesi.mx/comprobantes/2021/CQ2100784 /C3F15488_GAMS580603AQA.pdf</v>
      </c>
      <c r="AN541" t="str">
        <f>HYPERLINK("https://transparencia.cidesi.mx/comprobantes/2021/CQ2100784 /C3F15488_GAMS580603AQA.pdf")</f>
        <v>https://transparencia.cidesi.mx/comprobantes/2021/CQ2100784 /C3F15488_GAMS580603AQA.pdf</v>
      </c>
      <c r="AO541" t="str">
        <f>HYPERLINK("https://transparencia.cidesi.mx/comprobantes/2021/CQ2100784 /C3F15488_GAMS580603AQA.xml")</f>
        <v>https://transparencia.cidesi.mx/comprobantes/2021/CQ2100784 /C3F15488_GAMS580603AQA.xml</v>
      </c>
      <c r="AP541" t="s">
        <v>1044</v>
      </c>
      <c r="AQ541" t="s">
        <v>1045</v>
      </c>
      <c r="AR541" t="s">
        <v>1046</v>
      </c>
      <c r="AS541" t="s">
        <v>1031</v>
      </c>
      <c r="AT541" s="1">
        <v>44453</v>
      </c>
      <c r="AU541" s="1">
        <v>44467</v>
      </c>
    </row>
    <row r="542" spans="1:47" x14ac:dyDescent="0.3">
      <c r="A542" t="s">
        <v>47</v>
      </c>
      <c r="B542" t="s">
        <v>224</v>
      </c>
      <c r="C542" t="s">
        <v>225</v>
      </c>
      <c r="D542">
        <v>656</v>
      </c>
      <c r="E542" t="s">
        <v>1011</v>
      </c>
      <c r="F542" t="s">
        <v>912</v>
      </c>
      <c r="G542" t="s">
        <v>1012</v>
      </c>
      <c r="H542" t="s">
        <v>1040</v>
      </c>
      <c r="I542" t="s">
        <v>54</v>
      </c>
      <c r="J542" t="s">
        <v>1041</v>
      </c>
      <c r="K542" t="s">
        <v>56</v>
      </c>
      <c r="L542">
        <v>0</v>
      </c>
      <c r="M542" t="s">
        <v>73</v>
      </c>
      <c r="N542">
        <v>0</v>
      </c>
      <c r="O542" t="s">
        <v>58</v>
      </c>
      <c r="P542" t="s">
        <v>59</v>
      </c>
      <c r="Q542" t="s">
        <v>1042</v>
      </c>
      <c r="R542" t="s">
        <v>1041</v>
      </c>
      <c r="S542" s="1">
        <v>44441</v>
      </c>
      <c r="T542" s="1">
        <v>44445</v>
      </c>
      <c r="U542">
        <v>37501</v>
      </c>
      <c r="V542" t="s">
        <v>61</v>
      </c>
      <c r="W542" t="s">
        <v>1043</v>
      </c>
      <c r="X542" s="1">
        <v>44450</v>
      </c>
      <c r="Y542" t="s">
        <v>63</v>
      </c>
      <c r="Z542">
        <v>445.69</v>
      </c>
      <c r="AA542">
        <v>16</v>
      </c>
      <c r="AB542">
        <v>71.31</v>
      </c>
      <c r="AC542">
        <v>0</v>
      </c>
      <c r="AD542">
        <v>517</v>
      </c>
      <c r="AE542">
        <v>4229.62</v>
      </c>
      <c r="AF542">
        <v>4909</v>
      </c>
      <c r="AG542" t="s">
        <v>1016</v>
      </c>
      <c r="AH542" t="s">
        <v>65</v>
      </c>
      <c r="AI542" t="s">
        <v>65</v>
      </c>
      <c r="AJ542" t="s">
        <v>66</v>
      </c>
      <c r="AK542" t="s">
        <v>66</v>
      </c>
      <c r="AL542" t="s">
        <v>66</v>
      </c>
      <c r="AM542" s="2" t="str">
        <f>HYPERLINK("https://transparencia.cidesi.mx/comprobantes/2021/CQ2100784 /C4F38154_RORR791119M94.pdf")</f>
        <v>https://transparencia.cidesi.mx/comprobantes/2021/CQ2100784 /C4F38154_RORR791119M94.pdf</v>
      </c>
      <c r="AN542" t="str">
        <f>HYPERLINK("https://transparencia.cidesi.mx/comprobantes/2021/CQ2100784 /C4F38154_RORR791119M94.pdf")</f>
        <v>https://transparencia.cidesi.mx/comprobantes/2021/CQ2100784 /C4F38154_RORR791119M94.pdf</v>
      </c>
      <c r="AO542" t="str">
        <f>HYPERLINK("https://transparencia.cidesi.mx/comprobantes/2021/CQ2100784 /C4F38154_RORR791119M94.xml")</f>
        <v>https://transparencia.cidesi.mx/comprobantes/2021/CQ2100784 /C4F38154_RORR791119M94.xml</v>
      </c>
      <c r="AP542" t="s">
        <v>1044</v>
      </c>
      <c r="AQ542" t="s">
        <v>1045</v>
      </c>
      <c r="AR542" t="s">
        <v>1046</v>
      </c>
      <c r="AS542" t="s">
        <v>1031</v>
      </c>
      <c r="AT542" s="1">
        <v>44453</v>
      </c>
      <c r="AU542" s="1">
        <v>44467</v>
      </c>
    </row>
    <row r="543" spans="1:47" x14ac:dyDescent="0.3">
      <c r="A543" t="s">
        <v>47</v>
      </c>
      <c r="B543" t="s">
        <v>224</v>
      </c>
      <c r="C543" t="s">
        <v>225</v>
      </c>
      <c r="D543">
        <v>656</v>
      </c>
      <c r="E543" t="s">
        <v>1011</v>
      </c>
      <c r="F543" t="s">
        <v>912</v>
      </c>
      <c r="G543" t="s">
        <v>1012</v>
      </c>
      <c r="H543" t="s">
        <v>1040</v>
      </c>
      <c r="I543" t="s">
        <v>54</v>
      </c>
      <c r="J543" t="s">
        <v>1041</v>
      </c>
      <c r="K543" t="s">
        <v>56</v>
      </c>
      <c r="L543">
        <v>0</v>
      </c>
      <c r="M543" t="s">
        <v>73</v>
      </c>
      <c r="N543">
        <v>0</v>
      </c>
      <c r="O543" t="s">
        <v>58</v>
      </c>
      <c r="P543" t="s">
        <v>59</v>
      </c>
      <c r="Q543" t="s">
        <v>1042</v>
      </c>
      <c r="R543" t="s">
        <v>1041</v>
      </c>
      <c r="S543" s="1">
        <v>44441</v>
      </c>
      <c r="T543" s="1">
        <v>44445</v>
      </c>
      <c r="U543">
        <v>37501</v>
      </c>
      <c r="V543" t="s">
        <v>61</v>
      </c>
      <c r="W543" t="s">
        <v>1043</v>
      </c>
      <c r="X543" s="1">
        <v>44450</v>
      </c>
      <c r="Y543" t="s">
        <v>63</v>
      </c>
      <c r="Z543">
        <v>254.31</v>
      </c>
      <c r="AA543">
        <v>16</v>
      </c>
      <c r="AB543">
        <v>40.69</v>
      </c>
      <c r="AC543">
        <v>29.5</v>
      </c>
      <c r="AD543">
        <v>324.5</v>
      </c>
      <c r="AE543">
        <v>4229.62</v>
      </c>
      <c r="AF543">
        <v>4909</v>
      </c>
      <c r="AG543" t="s">
        <v>1016</v>
      </c>
      <c r="AH543" t="s">
        <v>65</v>
      </c>
      <c r="AI543" t="s">
        <v>65</v>
      </c>
      <c r="AJ543" t="s">
        <v>66</v>
      </c>
      <c r="AK543" t="s">
        <v>66</v>
      </c>
      <c r="AL543" t="s">
        <v>66</v>
      </c>
      <c r="AM543" s="2" t="str">
        <f>HYPERLINK("https://transparencia.cidesi.mx/comprobantes/2021/CQ2100784 /C5F60064_HTR621220RR6.pdf")</f>
        <v>https://transparencia.cidesi.mx/comprobantes/2021/CQ2100784 /C5F60064_HTR621220RR6.pdf</v>
      </c>
      <c r="AN543" t="str">
        <f>HYPERLINK("https://transparencia.cidesi.mx/comprobantes/2021/CQ2100784 /C5F60064_HTR621220RR6.pdf")</f>
        <v>https://transparencia.cidesi.mx/comprobantes/2021/CQ2100784 /C5F60064_HTR621220RR6.pdf</v>
      </c>
      <c r="AO543" t="str">
        <f>HYPERLINK("https://transparencia.cidesi.mx/comprobantes/2021/CQ2100784 /C5F60064_HTR621220RR6.xml")</f>
        <v>https://transparencia.cidesi.mx/comprobantes/2021/CQ2100784 /C5F60064_HTR621220RR6.xml</v>
      </c>
      <c r="AP543" t="s">
        <v>1044</v>
      </c>
      <c r="AQ543" t="s">
        <v>1045</v>
      </c>
      <c r="AR543" t="s">
        <v>1046</v>
      </c>
      <c r="AS543" t="s">
        <v>1031</v>
      </c>
      <c r="AT543" s="1">
        <v>44453</v>
      </c>
      <c r="AU543" s="1">
        <v>44467</v>
      </c>
    </row>
    <row r="544" spans="1:47" x14ac:dyDescent="0.3">
      <c r="A544" t="s">
        <v>47</v>
      </c>
      <c r="B544" t="s">
        <v>224</v>
      </c>
      <c r="C544" t="s">
        <v>225</v>
      </c>
      <c r="D544">
        <v>656</v>
      </c>
      <c r="E544" t="s">
        <v>1011</v>
      </c>
      <c r="F544" t="s">
        <v>912</v>
      </c>
      <c r="G544" t="s">
        <v>1012</v>
      </c>
      <c r="H544" t="s">
        <v>1040</v>
      </c>
      <c r="I544" t="s">
        <v>54</v>
      </c>
      <c r="J544" t="s">
        <v>1041</v>
      </c>
      <c r="K544" t="s">
        <v>56</v>
      </c>
      <c r="L544">
        <v>0</v>
      </c>
      <c r="M544" t="s">
        <v>73</v>
      </c>
      <c r="N544">
        <v>0</v>
      </c>
      <c r="O544" t="s">
        <v>58</v>
      </c>
      <c r="P544" t="s">
        <v>59</v>
      </c>
      <c r="Q544" t="s">
        <v>1042</v>
      </c>
      <c r="R544" t="s">
        <v>1041</v>
      </c>
      <c r="S544" s="1">
        <v>44441</v>
      </c>
      <c r="T544" s="1">
        <v>44445</v>
      </c>
      <c r="U544">
        <v>37501</v>
      </c>
      <c r="V544" t="s">
        <v>61</v>
      </c>
      <c r="W544" t="s">
        <v>1043</v>
      </c>
      <c r="X544" s="1">
        <v>44450</v>
      </c>
      <c r="Y544" t="s">
        <v>63</v>
      </c>
      <c r="Z544">
        <v>69.92</v>
      </c>
      <c r="AA544">
        <v>16</v>
      </c>
      <c r="AB544">
        <v>5.58</v>
      </c>
      <c r="AC544">
        <v>0</v>
      </c>
      <c r="AD544">
        <v>75.5</v>
      </c>
      <c r="AE544">
        <v>4229.62</v>
      </c>
      <c r="AF544">
        <v>4909</v>
      </c>
      <c r="AG544" t="s">
        <v>1016</v>
      </c>
      <c r="AH544" t="s">
        <v>65</v>
      </c>
      <c r="AI544" t="s">
        <v>65</v>
      </c>
      <c r="AJ544" t="s">
        <v>66</v>
      </c>
      <c r="AK544" t="s">
        <v>66</v>
      </c>
      <c r="AL544" t="s">
        <v>66</v>
      </c>
      <c r="AM544" s="2" t="str">
        <f>HYPERLINK("https://transparencia.cidesi.mx/comprobantes/2021/CQ2100784 /C6F344164945_CCO8605231N4.pdf")</f>
        <v>https://transparencia.cidesi.mx/comprobantes/2021/CQ2100784 /C6F344164945_CCO8605231N4.pdf</v>
      </c>
      <c r="AN544" t="str">
        <f>HYPERLINK("https://transparencia.cidesi.mx/comprobantes/2021/CQ2100784 /C6F344164945_CCO8605231N4.pdf")</f>
        <v>https://transparencia.cidesi.mx/comprobantes/2021/CQ2100784 /C6F344164945_CCO8605231N4.pdf</v>
      </c>
      <c r="AO544" t="str">
        <f>HYPERLINK("https://transparencia.cidesi.mx/comprobantes/2021/CQ2100784 /C6F344164945_CCO8605231N4.xml")</f>
        <v>https://transparencia.cidesi.mx/comprobantes/2021/CQ2100784 /C6F344164945_CCO8605231N4.xml</v>
      </c>
      <c r="AP544" t="s">
        <v>1044</v>
      </c>
      <c r="AQ544" t="s">
        <v>1045</v>
      </c>
      <c r="AR544" t="s">
        <v>1046</v>
      </c>
      <c r="AS544" t="s">
        <v>1031</v>
      </c>
      <c r="AT544" s="1">
        <v>44453</v>
      </c>
      <c r="AU544" s="1">
        <v>44467</v>
      </c>
    </row>
    <row r="545" spans="1:47" x14ac:dyDescent="0.3">
      <c r="A545" t="s">
        <v>47</v>
      </c>
      <c r="B545" t="s">
        <v>224</v>
      </c>
      <c r="C545" t="s">
        <v>225</v>
      </c>
      <c r="D545">
        <v>656</v>
      </c>
      <c r="E545" t="s">
        <v>1011</v>
      </c>
      <c r="F545" t="s">
        <v>912</v>
      </c>
      <c r="G545" t="s">
        <v>1012</v>
      </c>
      <c r="H545" t="s">
        <v>1040</v>
      </c>
      <c r="I545" t="s">
        <v>54</v>
      </c>
      <c r="J545" t="s">
        <v>1041</v>
      </c>
      <c r="K545" t="s">
        <v>56</v>
      </c>
      <c r="L545">
        <v>0</v>
      </c>
      <c r="M545" t="s">
        <v>73</v>
      </c>
      <c r="N545">
        <v>0</v>
      </c>
      <c r="O545" t="s">
        <v>58</v>
      </c>
      <c r="P545" t="s">
        <v>59</v>
      </c>
      <c r="Q545" t="s">
        <v>1042</v>
      </c>
      <c r="R545" t="s">
        <v>1041</v>
      </c>
      <c r="S545" s="1">
        <v>44441</v>
      </c>
      <c r="T545" s="1">
        <v>44445</v>
      </c>
      <c r="U545">
        <v>37501</v>
      </c>
      <c r="V545" t="s">
        <v>104</v>
      </c>
      <c r="W545" t="s">
        <v>1043</v>
      </c>
      <c r="X545" s="1">
        <v>44450</v>
      </c>
      <c r="Y545" t="s">
        <v>63</v>
      </c>
      <c r="Z545">
        <v>2317.4899999999998</v>
      </c>
      <c r="AA545">
        <v>16</v>
      </c>
      <c r="AB545">
        <v>363.53</v>
      </c>
      <c r="AC545">
        <v>0</v>
      </c>
      <c r="AD545">
        <v>2681.02</v>
      </c>
      <c r="AE545">
        <v>4229.62</v>
      </c>
      <c r="AF545">
        <v>4909</v>
      </c>
      <c r="AG545" t="s">
        <v>1032</v>
      </c>
      <c r="AH545" t="s">
        <v>65</v>
      </c>
      <c r="AI545" t="s">
        <v>65</v>
      </c>
      <c r="AJ545" t="s">
        <v>66</v>
      </c>
      <c r="AK545" t="s">
        <v>66</v>
      </c>
      <c r="AL545" t="s">
        <v>66</v>
      </c>
      <c r="AM545" s="2" t="str">
        <f>HYPERLINK("https://transparencia.cidesi.mx/comprobantes/2021/CQ2100784 /C7F8328_HTR621220RR6.pdf")</f>
        <v>https://transparencia.cidesi.mx/comprobantes/2021/CQ2100784 /C7F8328_HTR621220RR6.pdf</v>
      </c>
      <c r="AN545" t="str">
        <f>HYPERLINK("https://transparencia.cidesi.mx/comprobantes/2021/CQ2100784 /C7F8328_HTR621220RR6.pdf")</f>
        <v>https://transparencia.cidesi.mx/comprobantes/2021/CQ2100784 /C7F8328_HTR621220RR6.pdf</v>
      </c>
      <c r="AO545" t="str">
        <f>HYPERLINK("https://transparencia.cidesi.mx/comprobantes/2021/CQ2100784 /C7F8328_HTR621220RR6.xml")</f>
        <v>https://transparencia.cidesi.mx/comprobantes/2021/CQ2100784 /C7F8328_HTR621220RR6.xml</v>
      </c>
      <c r="AP545" t="s">
        <v>1044</v>
      </c>
      <c r="AQ545" t="s">
        <v>1045</v>
      </c>
      <c r="AR545" t="s">
        <v>1046</v>
      </c>
      <c r="AS545" t="s">
        <v>1031</v>
      </c>
      <c r="AT545" s="1">
        <v>44453</v>
      </c>
      <c r="AU545" s="1">
        <v>44467</v>
      </c>
    </row>
    <row r="546" spans="1:47" x14ac:dyDescent="0.3">
      <c r="A546" t="s">
        <v>47</v>
      </c>
      <c r="B546" t="s">
        <v>224</v>
      </c>
      <c r="C546" t="s">
        <v>225</v>
      </c>
      <c r="D546">
        <v>656</v>
      </c>
      <c r="E546" t="s">
        <v>1011</v>
      </c>
      <c r="F546" t="s">
        <v>912</v>
      </c>
      <c r="G546" t="s">
        <v>1012</v>
      </c>
      <c r="H546" t="s">
        <v>1047</v>
      </c>
      <c r="I546" t="s">
        <v>54</v>
      </c>
      <c r="J546" t="s">
        <v>1048</v>
      </c>
      <c r="K546" t="s">
        <v>56</v>
      </c>
      <c r="L546">
        <v>0</v>
      </c>
      <c r="M546" t="s">
        <v>73</v>
      </c>
      <c r="N546">
        <v>0</v>
      </c>
      <c r="O546" t="s">
        <v>58</v>
      </c>
      <c r="P546" t="s">
        <v>59</v>
      </c>
      <c r="Q546" t="s">
        <v>1049</v>
      </c>
      <c r="R546" t="s">
        <v>1048</v>
      </c>
      <c r="S546" s="1">
        <v>44447</v>
      </c>
      <c r="T546" s="1">
        <v>44453</v>
      </c>
      <c r="U546">
        <v>37501</v>
      </c>
      <c r="V546" t="s">
        <v>61</v>
      </c>
      <c r="W546" t="s">
        <v>1050</v>
      </c>
      <c r="X546" s="1">
        <v>44460</v>
      </c>
      <c r="Y546" t="s">
        <v>207</v>
      </c>
      <c r="Z546">
        <v>216.38</v>
      </c>
      <c r="AA546">
        <v>16</v>
      </c>
      <c r="AB546">
        <v>34.619999999999997</v>
      </c>
      <c r="AC546">
        <v>25.1</v>
      </c>
      <c r="AD546">
        <v>276.10000000000002</v>
      </c>
      <c r="AE546">
        <v>5707.37</v>
      </c>
      <c r="AF546">
        <v>7988</v>
      </c>
      <c r="AG546" t="s">
        <v>1016</v>
      </c>
      <c r="AH546" t="s">
        <v>65</v>
      </c>
      <c r="AI546" t="s">
        <v>65</v>
      </c>
      <c r="AJ546" t="s">
        <v>66</v>
      </c>
      <c r="AK546" t="s">
        <v>66</v>
      </c>
      <c r="AL546" t="s">
        <v>66</v>
      </c>
      <c r="AM546" s="2" t="str">
        <f>HYPERLINK("https://transparencia.cidesi.mx/comprobantes/2021/CQ2100850 /C1F2054_SABE6204023D7.pdf")</f>
        <v>https://transparencia.cidesi.mx/comprobantes/2021/CQ2100850 /C1F2054_SABE6204023D7.pdf</v>
      </c>
      <c r="AN546" t="str">
        <f>HYPERLINK("https://transparencia.cidesi.mx/comprobantes/2021/CQ2100850 /C1F2054_SABE6204023D7.pdf")</f>
        <v>https://transparencia.cidesi.mx/comprobantes/2021/CQ2100850 /C1F2054_SABE6204023D7.pdf</v>
      </c>
      <c r="AO546" t="str">
        <f>HYPERLINK("https://transparencia.cidesi.mx/comprobantes/2021/CQ2100850 /C1F2054_SABE6204023D7.xml")</f>
        <v>https://transparencia.cidesi.mx/comprobantes/2021/CQ2100850 /C1F2054_SABE6204023D7.xml</v>
      </c>
      <c r="AP546" t="s">
        <v>1051</v>
      </c>
      <c r="AQ546" t="s">
        <v>1052</v>
      </c>
      <c r="AR546" t="s">
        <v>1053</v>
      </c>
      <c r="AS546" t="s">
        <v>1031</v>
      </c>
      <c r="AT546" s="1">
        <v>44461</v>
      </c>
      <c r="AU546" t="s">
        <v>73</v>
      </c>
    </row>
    <row r="547" spans="1:47" x14ac:dyDescent="0.3">
      <c r="A547" t="s">
        <v>47</v>
      </c>
      <c r="B547" t="s">
        <v>224</v>
      </c>
      <c r="C547" t="s">
        <v>225</v>
      </c>
      <c r="D547">
        <v>656</v>
      </c>
      <c r="E547" t="s">
        <v>1011</v>
      </c>
      <c r="F547" t="s">
        <v>912</v>
      </c>
      <c r="G547" t="s">
        <v>1012</v>
      </c>
      <c r="H547" t="s">
        <v>1047</v>
      </c>
      <c r="I547" t="s">
        <v>54</v>
      </c>
      <c r="J547" t="s">
        <v>1048</v>
      </c>
      <c r="K547" t="s">
        <v>56</v>
      </c>
      <c r="L547">
        <v>0</v>
      </c>
      <c r="M547" t="s">
        <v>73</v>
      </c>
      <c r="N547">
        <v>0</v>
      </c>
      <c r="O547" t="s">
        <v>58</v>
      </c>
      <c r="P547" t="s">
        <v>59</v>
      </c>
      <c r="Q547" t="s">
        <v>1049</v>
      </c>
      <c r="R547" t="s">
        <v>1048</v>
      </c>
      <c r="S547" s="1">
        <v>44447</v>
      </c>
      <c r="T547" s="1">
        <v>44453</v>
      </c>
      <c r="U547">
        <v>37501</v>
      </c>
      <c r="V547" t="s">
        <v>61</v>
      </c>
      <c r="W547" t="s">
        <v>1050</v>
      </c>
      <c r="X547" s="1">
        <v>44460</v>
      </c>
      <c r="Y547" t="s">
        <v>207</v>
      </c>
      <c r="Z547">
        <v>103.45</v>
      </c>
      <c r="AA547">
        <v>16</v>
      </c>
      <c r="AB547">
        <v>16.55</v>
      </c>
      <c r="AC547">
        <v>0</v>
      </c>
      <c r="AD547">
        <v>120</v>
      </c>
      <c r="AE547">
        <v>5707.37</v>
      </c>
      <c r="AF547">
        <v>7988</v>
      </c>
      <c r="AG547" t="s">
        <v>1016</v>
      </c>
      <c r="AH547" t="s">
        <v>66</v>
      </c>
      <c r="AI547" t="s">
        <v>65</v>
      </c>
      <c r="AJ547" t="s">
        <v>66</v>
      </c>
      <c r="AK547" t="s">
        <v>66</v>
      </c>
      <c r="AL547" t="s">
        <v>66</v>
      </c>
      <c r="AM547" s="2" t="str">
        <f>HYPERLINK("https://transparencia.cidesi.mx/comprobantes/2021/CQ2100850 /C2F3352_PETJ5405169E4.pdf")</f>
        <v>https://transparencia.cidesi.mx/comprobantes/2021/CQ2100850 /C2F3352_PETJ5405169E4.pdf</v>
      </c>
      <c r="AN547" t="str">
        <f>HYPERLINK("https://transparencia.cidesi.mx/comprobantes/2021/CQ2100850 /C2F3352_PETJ5405169E4.pdf")</f>
        <v>https://transparencia.cidesi.mx/comprobantes/2021/CQ2100850 /C2F3352_PETJ5405169E4.pdf</v>
      </c>
      <c r="AO547" t="str">
        <f>HYPERLINK("https://transparencia.cidesi.mx/comprobantes/2021/CQ2100850 /C2F3352_PETJ5405169E4.xml")</f>
        <v>https://transparencia.cidesi.mx/comprobantes/2021/CQ2100850 /C2F3352_PETJ5405169E4.xml</v>
      </c>
      <c r="AP547" t="s">
        <v>1051</v>
      </c>
      <c r="AQ547" t="s">
        <v>1052</v>
      </c>
      <c r="AR547" t="s">
        <v>1053</v>
      </c>
      <c r="AS547" t="s">
        <v>1031</v>
      </c>
      <c r="AT547" s="1">
        <v>44461</v>
      </c>
      <c r="AU547" t="s">
        <v>73</v>
      </c>
    </row>
    <row r="548" spans="1:47" x14ac:dyDescent="0.3">
      <c r="A548" t="s">
        <v>47</v>
      </c>
      <c r="B548" t="s">
        <v>224</v>
      </c>
      <c r="C548" t="s">
        <v>225</v>
      </c>
      <c r="D548">
        <v>656</v>
      </c>
      <c r="E548" t="s">
        <v>1011</v>
      </c>
      <c r="F548" t="s">
        <v>912</v>
      </c>
      <c r="G548" t="s">
        <v>1012</v>
      </c>
      <c r="H548" t="s">
        <v>1047</v>
      </c>
      <c r="I548" t="s">
        <v>54</v>
      </c>
      <c r="J548" t="s">
        <v>1048</v>
      </c>
      <c r="K548" t="s">
        <v>56</v>
      </c>
      <c r="L548">
        <v>0</v>
      </c>
      <c r="M548" t="s">
        <v>73</v>
      </c>
      <c r="N548">
        <v>0</v>
      </c>
      <c r="O548" t="s">
        <v>58</v>
      </c>
      <c r="P548" t="s">
        <v>59</v>
      </c>
      <c r="Q548" t="s">
        <v>1049</v>
      </c>
      <c r="R548" t="s">
        <v>1048</v>
      </c>
      <c r="S548" s="1">
        <v>44447</v>
      </c>
      <c r="T548" s="1">
        <v>44453</v>
      </c>
      <c r="U548">
        <v>37501</v>
      </c>
      <c r="V548" t="s">
        <v>61</v>
      </c>
      <c r="W548" t="s">
        <v>1050</v>
      </c>
      <c r="X548" s="1">
        <v>44460</v>
      </c>
      <c r="Y548" t="s">
        <v>207</v>
      </c>
      <c r="Z548">
        <v>304.31</v>
      </c>
      <c r="AA548">
        <v>16</v>
      </c>
      <c r="AB548">
        <v>48.69</v>
      </c>
      <c r="AC548">
        <v>0</v>
      </c>
      <c r="AD548">
        <v>353</v>
      </c>
      <c r="AE548">
        <v>5707.37</v>
      </c>
      <c r="AF548">
        <v>7988</v>
      </c>
      <c r="AG548" t="s">
        <v>1016</v>
      </c>
      <c r="AH548" t="s">
        <v>65</v>
      </c>
      <c r="AI548" t="s">
        <v>65</v>
      </c>
      <c r="AJ548" t="s">
        <v>66</v>
      </c>
      <c r="AK548" t="s">
        <v>66</v>
      </c>
      <c r="AL548" t="s">
        <v>66</v>
      </c>
      <c r="AM548" s="2" t="str">
        <f>HYPERLINK("https://transparencia.cidesi.mx/comprobantes/2021/CQ2100850 /C3F9068_MECA730929NL6.pdf")</f>
        <v>https://transparencia.cidesi.mx/comprobantes/2021/CQ2100850 /C3F9068_MECA730929NL6.pdf</v>
      </c>
      <c r="AN548" t="str">
        <f>HYPERLINK("https://transparencia.cidesi.mx/comprobantes/2021/CQ2100850 /C3F9068_MECA730929NL6.pdf")</f>
        <v>https://transparencia.cidesi.mx/comprobantes/2021/CQ2100850 /C3F9068_MECA730929NL6.pdf</v>
      </c>
      <c r="AO548" t="str">
        <f>HYPERLINK("https://transparencia.cidesi.mx/comprobantes/2021/CQ2100850 /C3F9068_MECA730929NL6.xml")</f>
        <v>https://transparencia.cidesi.mx/comprobantes/2021/CQ2100850 /C3F9068_MECA730929NL6.xml</v>
      </c>
      <c r="AP548" t="s">
        <v>1051</v>
      </c>
      <c r="AQ548" t="s">
        <v>1052</v>
      </c>
      <c r="AR548" t="s">
        <v>1053</v>
      </c>
      <c r="AS548" t="s">
        <v>1031</v>
      </c>
      <c r="AT548" s="1">
        <v>44461</v>
      </c>
      <c r="AU548" t="s">
        <v>73</v>
      </c>
    </row>
    <row r="549" spans="1:47" x14ac:dyDescent="0.3">
      <c r="A549" t="s">
        <v>47</v>
      </c>
      <c r="B549" t="s">
        <v>224</v>
      </c>
      <c r="C549" t="s">
        <v>225</v>
      </c>
      <c r="D549">
        <v>656</v>
      </c>
      <c r="E549" t="s">
        <v>1011</v>
      </c>
      <c r="F549" t="s">
        <v>912</v>
      </c>
      <c r="G549" t="s">
        <v>1012</v>
      </c>
      <c r="H549" t="s">
        <v>1047</v>
      </c>
      <c r="I549" t="s">
        <v>54</v>
      </c>
      <c r="J549" t="s">
        <v>1048</v>
      </c>
      <c r="K549" t="s">
        <v>56</v>
      </c>
      <c r="L549">
        <v>0</v>
      </c>
      <c r="M549" t="s">
        <v>73</v>
      </c>
      <c r="N549">
        <v>0</v>
      </c>
      <c r="O549" t="s">
        <v>58</v>
      </c>
      <c r="P549" t="s">
        <v>59</v>
      </c>
      <c r="Q549" t="s">
        <v>1049</v>
      </c>
      <c r="R549" t="s">
        <v>1048</v>
      </c>
      <c r="S549" s="1">
        <v>44447</v>
      </c>
      <c r="T549" s="1">
        <v>44453</v>
      </c>
      <c r="U549">
        <v>37501</v>
      </c>
      <c r="V549" t="s">
        <v>61</v>
      </c>
      <c r="W549" t="s">
        <v>1050</v>
      </c>
      <c r="X549" s="1">
        <v>44460</v>
      </c>
      <c r="Y549" t="s">
        <v>207</v>
      </c>
      <c r="Z549">
        <v>428.88</v>
      </c>
      <c r="AA549">
        <v>16</v>
      </c>
      <c r="AB549">
        <v>68.62</v>
      </c>
      <c r="AC549">
        <v>49.75</v>
      </c>
      <c r="AD549">
        <v>547.25</v>
      </c>
      <c r="AE549">
        <v>5707.37</v>
      </c>
      <c r="AF549">
        <v>7988</v>
      </c>
      <c r="AG549" t="s">
        <v>1016</v>
      </c>
      <c r="AH549" t="s">
        <v>65</v>
      </c>
      <c r="AI549" t="s">
        <v>65</v>
      </c>
      <c r="AJ549" t="s">
        <v>66</v>
      </c>
      <c r="AK549" t="s">
        <v>66</v>
      </c>
      <c r="AL549" t="s">
        <v>66</v>
      </c>
      <c r="AM549" s="2" t="str">
        <f>HYPERLINK("https://transparencia.cidesi.mx/comprobantes/2021/CQ2100850 /C4F22229_PMA170203CS2.pdf")</f>
        <v>https://transparencia.cidesi.mx/comprobantes/2021/CQ2100850 /C4F22229_PMA170203CS2.pdf</v>
      </c>
      <c r="AN549" t="str">
        <f>HYPERLINK("https://transparencia.cidesi.mx/comprobantes/2021/CQ2100850 /C4F22229_PMA170203CS2.pdf")</f>
        <v>https://transparencia.cidesi.mx/comprobantes/2021/CQ2100850 /C4F22229_PMA170203CS2.pdf</v>
      </c>
      <c r="AO549" t="str">
        <f>HYPERLINK("https://transparencia.cidesi.mx/comprobantes/2021/CQ2100850 /C4F22229_PMA170203CS2.xml")</f>
        <v>https://transparencia.cidesi.mx/comprobantes/2021/CQ2100850 /C4F22229_PMA170203CS2.xml</v>
      </c>
      <c r="AP549" t="s">
        <v>1051</v>
      </c>
      <c r="AQ549" t="s">
        <v>1052</v>
      </c>
      <c r="AR549" t="s">
        <v>1053</v>
      </c>
      <c r="AS549" t="s">
        <v>1031</v>
      </c>
      <c r="AT549" s="1">
        <v>44461</v>
      </c>
      <c r="AU549" t="s">
        <v>73</v>
      </c>
    </row>
    <row r="550" spans="1:47" x14ac:dyDescent="0.3">
      <c r="A550" t="s">
        <v>47</v>
      </c>
      <c r="B550" t="s">
        <v>224</v>
      </c>
      <c r="C550" t="s">
        <v>225</v>
      </c>
      <c r="D550">
        <v>656</v>
      </c>
      <c r="E550" t="s">
        <v>1011</v>
      </c>
      <c r="F550" t="s">
        <v>912</v>
      </c>
      <c r="G550" t="s">
        <v>1012</v>
      </c>
      <c r="H550" t="s">
        <v>1047</v>
      </c>
      <c r="I550" t="s">
        <v>54</v>
      </c>
      <c r="J550" t="s">
        <v>1048</v>
      </c>
      <c r="K550" t="s">
        <v>56</v>
      </c>
      <c r="L550">
        <v>0</v>
      </c>
      <c r="M550" t="s">
        <v>73</v>
      </c>
      <c r="N550">
        <v>0</v>
      </c>
      <c r="O550" t="s">
        <v>58</v>
      </c>
      <c r="P550" t="s">
        <v>59</v>
      </c>
      <c r="Q550" t="s">
        <v>1049</v>
      </c>
      <c r="R550" t="s">
        <v>1048</v>
      </c>
      <c r="S550" s="1">
        <v>44447</v>
      </c>
      <c r="T550" s="1">
        <v>44453</v>
      </c>
      <c r="U550">
        <v>37501</v>
      </c>
      <c r="V550" t="s">
        <v>61</v>
      </c>
      <c r="W550" t="s">
        <v>1050</v>
      </c>
      <c r="X550" s="1">
        <v>44460</v>
      </c>
      <c r="Y550" t="s">
        <v>207</v>
      </c>
      <c r="Z550">
        <v>433.62</v>
      </c>
      <c r="AA550">
        <v>16</v>
      </c>
      <c r="AB550">
        <v>69.38</v>
      </c>
      <c r="AC550">
        <v>50.3</v>
      </c>
      <c r="AD550">
        <v>553.29999999999995</v>
      </c>
      <c r="AE550">
        <v>5707.37</v>
      </c>
      <c r="AF550">
        <v>7988</v>
      </c>
      <c r="AG550" t="s">
        <v>1016</v>
      </c>
      <c r="AH550" t="s">
        <v>65</v>
      </c>
      <c r="AI550" t="s">
        <v>65</v>
      </c>
      <c r="AJ550" t="s">
        <v>66</v>
      </c>
      <c r="AK550" t="s">
        <v>66</v>
      </c>
      <c r="AL550" t="s">
        <v>66</v>
      </c>
      <c r="AM550" s="2" t="str">
        <f>HYPERLINK("https://transparencia.cidesi.mx/comprobantes/2021/CQ2100850 /C5F38339_RORR791119M94.pdf")</f>
        <v>https://transparencia.cidesi.mx/comprobantes/2021/CQ2100850 /C5F38339_RORR791119M94.pdf</v>
      </c>
      <c r="AN550" t="str">
        <f>HYPERLINK("https://transparencia.cidesi.mx/comprobantes/2021/CQ2100850 /C5F38339_RORR791119M94.pdf")</f>
        <v>https://transparencia.cidesi.mx/comprobantes/2021/CQ2100850 /C5F38339_RORR791119M94.pdf</v>
      </c>
      <c r="AO550" t="str">
        <f>HYPERLINK("https://transparencia.cidesi.mx/comprobantes/2021/CQ2100850 /C5F38339_RORR791119M94.xml")</f>
        <v>https://transparencia.cidesi.mx/comprobantes/2021/CQ2100850 /C5F38339_RORR791119M94.xml</v>
      </c>
      <c r="AP550" t="s">
        <v>1051</v>
      </c>
      <c r="AQ550" t="s">
        <v>1052</v>
      </c>
      <c r="AR550" t="s">
        <v>1053</v>
      </c>
      <c r="AS550" t="s">
        <v>1031</v>
      </c>
      <c r="AT550" s="1">
        <v>44461</v>
      </c>
      <c r="AU550" t="s">
        <v>73</v>
      </c>
    </row>
    <row r="551" spans="1:47" x14ac:dyDescent="0.3">
      <c r="A551" t="s">
        <v>47</v>
      </c>
      <c r="B551" t="s">
        <v>224</v>
      </c>
      <c r="C551" t="s">
        <v>225</v>
      </c>
      <c r="D551">
        <v>656</v>
      </c>
      <c r="E551" t="s">
        <v>1011</v>
      </c>
      <c r="F551" t="s">
        <v>912</v>
      </c>
      <c r="G551" t="s">
        <v>1012</v>
      </c>
      <c r="H551" t="s">
        <v>1047</v>
      </c>
      <c r="I551" t="s">
        <v>54</v>
      </c>
      <c r="J551" t="s">
        <v>1048</v>
      </c>
      <c r="K551" t="s">
        <v>56</v>
      </c>
      <c r="L551">
        <v>0</v>
      </c>
      <c r="M551" t="s">
        <v>73</v>
      </c>
      <c r="N551">
        <v>0</v>
      </c>
      <c r="O551" t="s">
        <v>58</v>
      </c>
      <c r="P551" t="s">
        <v>59</v>
      </c>
      <c r="Q551" t="s">
        <v>1049</v>
      </c>
      <c r="R551" t="s">
        <v>1048</v>
      </c>
      <c r="S551" s="1">
        <v>44447</v>
      </c>
      <c r="T551" s="1">
        <v>44453</v>
      </c>
      <c r="U551">
        <v>37501</v>
      </c>
      <c r="V551" t="s">
        <v>61</v>
      </c>
      <c r="W551" t="s">
        <v>1050</v>
      </c>
      <c r="X551" s="1">
        <v>44460</v>
      </c>
      <c r="Y551" t="s">
        <v>207</v>
      </c>
      <c r="Z551">
        <v>124.14</v>
      </c>
      <c r="AA551">
        <v>16</v>
      </c>
      <c r="AB551">
        <v>19.86</v>
      </c>
      <c r="AC551">
        <v>14.4</v>
      </c>
      <c r="AD551">
        <v>158.4</v>
      </c>
      <c r="AE551">
        <v>5707.37</v>
      </c>
      <c r="AF551">
        <v>7988</v>
      </c>
      <c r="AG551" t="s">
        <v>1016</v>
      </c>
      <c r="AH551" t="s">
        <v>65</v>
      </c>
      <c r="AI551" t="s">
        <v>65</v>
      </c>
      <c r="AJ551" t="s">
        <v>66</v>
      </c>
      <c r="AK551" t="s">
        <v>66</v>
      </c>
      <c r="AL551" t="s">
        <v>66</v>
      </c>
      <c r="AM551" s="2" t="str">
        <f>HYPERLINK("https://transparencia.cidesi.mx/comprobantes/2021/CQ2100850 /C6F06564605_RTO840921RE4.pdf")</f>
        <v>https://transparencia.cidesi.mx/comprobantes/2021/CQ2100850 /C6F06564605_RTO840921RE4.pdf</v>
      </c>
      <c r="AN551" t="str">
        <f>HYPERLINK("https://transparencia.cidesi.mx/comprobantes/2021/CQ2100850 /C6F06564605_RTO840921RE4.pdf")</f>
        <v>https://transparencia.cidesi.mx/comprobantes/2021/CQ2100850 /C6F06564605_RTO840921RE4.pdf</v>
      </c>
      <c r="AO551" t="str">
        <f>HYPERLINK("https://transparencia.cidesi.mx/comprobantes/2021/CQ2100850 /C6F6564605_RTO840921RE4.xml")</f>
        <v>https://transparencia.cidesi.mx/comprobantes/2021/CQ2100850 /C6F6564605_RTO840921RE4.xml</v>
      </c>
      <c r="AP551" t="s">
        <v>1051</v>
      </c>
      <c r="AQ551" t="s">
        <v>1052</v>
      </c>
      <c r="AR551" t="s">
        <v>1053</v>
      </c>
      <c r="AS551" t="s">
        <v>1031</v>
      </c>
      <c r="AT551" s="1">
        <v>44461</v>
      </c>
      <c r="AU551" t="s">
        <v>73</v>
      </c>
    </row>
    <row r="552" spans="1:47" x14ac:dyDescent="0.3">
      <c r="A552" t="s">
        <v>47</v>
      </c>
      <c r="B552" t="s">
        <v>224</v>
      </c>
      <c r="C552" t="s">
        <v>225</v>
      </c>
      <c r="D552">
        <v>656</v>
      </c>
      <c r="E552" t="s">
        <v>1011</v>
      </c>
      <c r="F552" t="s">
        <v>912</v>
      </c>
      <c r="G552" t="s">
        <v>1012</v>
      </c>
      <c r="H552" t="s">
        <v>1047</v>
      </c>
      <c r="I552" t="s">
        <v>54</v>
      </c>
      <c r="J552" t="s">
        <v>1048</v>
      </c>
      <c r="K552" t="s">
        <v>56</v>
      </c>
      <c r="L552">
        <v>0</v>
      </c>
      <c r="M552" t="s">
        <v>73</v>
      </c>
      <c r="N552">
        <v>0</v>
      </c>
      <c r="O552" t="s">
        <v>58</v>
      </c>
      <c r="P552" t="s">
        <v>59</v>
      </c>
      <c r="Q552" t="s">
        <v>1049</v>
      </c>
      <c r="R552" t="s">
        <v>1048</v>
      </c>
      <c r="S552" s="1">
        <v>44447</v>
      </c>
      <c r="T552" s="1">
        <v>44453</v>
      </c>
      <c r="U552">
        <v>37501</v>
      </c>
      <c r="V552" t="s">
        <v>61</v>
      </c>
      <c r="W552" t="s">
        <v>1050</v>
      </c>
      <c r="X552" s="1">
        <v>44460</v>
      </c>
      <c r="Y552" t="s">
        <v>207</v>
      </c>
      <c r="Z552">
        <v>129.31</v>
      </c>
      <c r="AA552">
        <v>16</v>
      </c>
      <c r="AB552">
        <v>20.69</v>
      </c>
      <c r="AC552">
        <v>15</v>
      </c>
      <c r="AD552">
        <v>165</v>
      </c>
      <c r="AE552">
        <v>5707.37</v>
      </c>
      <c r="AF552">
        <v>7988</v>
      </c>
      <c r="AG552" t="s">
        <v>1016</v>
      </c>
      <c r="AH552" t="s">
        <v>65</v>
      </c>
      <c r="AI552" t="s">
        <v>65</v>
      </c>
      <c r="AJ552" t="s">
        <v>66</v>
      </c>
      <c r="AK552" t="s">
        <v>66</v>
      </c>
      <c r="AL552" t="s">
        <v>66</v>
      </c>
      <c r="AM552" s="2" t="str">
        <f>HYPERLINK("https://transparencia.cidesi.mx/comprobantes/2021/CQ2100850 /C7F6564649_RTO840921RE4.pdf")</f>
        <v>https://transparencia.cidesi.mx/comprobantes/2021/CQ2100850 /C7F6564649_RTO840921RE4.pdf</v>
      </c>
      <c r="AN552" t="str">
        <f>HYPERLINK("https://transparencia.cidesi.mx/comprobantes/2021/CQ2100850 /C7F6564649_RTO840921RE4.pdf")</f>
        <v>https://transparencia.cidesi.mx/comprobantes/2021/CQ2100850 /C7F6564649_RTO840921RE4.pdf</v>
      </c>
      <c r="AO552" t="str">
        <f>HYPERLINK("https://transparencia.cidesi.mx/comprobantes/2021/CQ2100850 /C7F6564649_RTO840921RE4.xml")</f>
        <v>https://transparencia.cidesi.mx/comprobantes/2021/CQ2100850 /C7F6564649_RTO840921RE4.xml</v>
      </c>
      <c r="AP552" t="s">
        <v>1051</v>
      </c>
      <c r="AQ552" t="s">
        <v>1052</v>
      </c>
      <c r="AR552" t="s">
        <v>1053</v>
      </c>
      <c r="AS552" t="s">
        <v>1031</v>
      </c>
      <c r="AT552" s="1">
        <v>44461</v>
      </c>
      <c r="AU552" t="s">
        <v>73</v>
      </c>
    </row>
    <row r="553" spans="1:47" x14ac:dyDescent="0.3">
      <c r="A553" t="s">
        <v>47</v>
      </c>
      <c r="B553" t="s">
        <v>224</v>
      </c>
      <c r="C553" t="s">
        <v>225</v>
      </c>
      <c r="D553">
        <v>656</v>
      </c>
      <c r="E553" t="s">
        <v>1011</v>
      </c>
      <c r="F553" t="s">
        <v>912</v>
      </c>
      <c r="G553" t="s">
        <v>1012</v>
      </c>
      <c r="H553" t="s">
        <v>1047</v>
      </c>
      <c r="I553" t="s">
        <v>54</v>
      </c>
      <c r="J553" t="s">
        <v>1048</v>
      </c>
      <c r="K553" t="s">
        <v>56</v>
      </c>
      <c r="L553">
        <v>0</v>
      </c>
      <c r="M553" t="s">
        <v>73</v>
      </c>
      <c r="N553">
        <v>0</v>
      </c>
      <c r="O553" t="s">
        <v>58</v>
      </c>
      <c r="P553" t="s">
        <v>59</v>
      </c>
      <c r="Q553" t="s">
        <v>1049</v>
      </c>
      <c r="R553" t="s">
        <v>1048</v>
      </c>
      <c r="S553" s="1">
        <v>44447</v>
      </c>
      <c r="T553" s="1">
        <v>44453</v>
      </c>
      <c r="U553">
        <v>37501</v>
      </c>
      <c r="V553" t="s">
        <v>61</v>
      </c>
      <c r="W553" t="s">
        <v>1050</v>
      </c>
      <c r="X553" s="1">
        <v>44460</v>
      </c>
      <c r="Y553" t="s">
        <v>207</v>
      </c>
      <c r="Z553">
        <v>70.28</v>
      </c>
      <c r="AA553">
        <v>16</v>
      </c>
      <c r="AB553">
        <v>5.72</v>
      </c>
      <c r="AC553">
        <v>0</v>
      </c>
      <c r="AD553">
        <v>76</v>
      </c>
      <c r="AE553">
        <v>5707.37</v>
      </c>
      <c r="AF553">
        <v>7988</v>
      </c>
      <c r="AG553" t="s">
        <v>1016</v>
      </c>
      <c r="AH553" t="s">
        <v>65</v>
      </c>
      <c r="AI553" t="s">
        <v>65</v>
      </c>
      <c r="AJ553" t="s">
        <v>66</v>
      </c>
      <c r="AK553" t="s">
        <v>66</v>
      </c>
      <c r="AL553" t="s">
        <v>66</v>
      </c>
      <c r="AM553" s="2" t="str">
        <f>HYPERLINK("https://transparencia.cidesi.mx/comprobantes/2021/CQ2100850 /C8F344550053_CCO8605231N4.pdf")</f>
        <v>https://transparencia.cidesi.mx/comprobantes/2021/CQ2100850 /C8F344550053_CCO8605231N4.pdf</v>
      </c>
      <c r="AN553" t="str">
        <f>HYPERLINK("https://transparencia.cidesi.mx/comprobantes/2021/CQ2100850 /C8F344550053_CCO8605231N4.pdf")</f>
        <v>https://transparencia.cidesi.mx/comprobantes/2021/CQ2100850 /C8F344550053_CCO8605231N4.pdf</v>
      </c>
      <c r="AO553" t="str">
        <f>HYPERLINK("https://transparencia.cidesi.mx/comprobantes/2021/CQ2100850 /C8F344550053_CCO8605231N4.xml")</f>
        <v>https://transparencia.cidesi.mx/comprobantes/2021/CQ2100850 /C8F344550053_CCO8605231N4.xml</v>
      </c>
      <c r="AP553" t="s">
        <v>1051</v>
      </c>
      <c r="AQ553" t="s">
        <v>1052</v>
      </c>
      <c r="AR553" t="s">
        <v>1053</v>
      </c>
      <c r="AS553" t="s">
        <v>1031</v>
      </c>
      <c r="AT553" s="1">
        <v>44461</v>
      </c>
      <c r="AU553" t="s">
        <v>73</v>
      </c>
    </row>
    <row r="554" spans="1:47" x14ac:dyDescent="0.3">
      <c r="A554" t="s">
        <v>47</v>
      </c>
      <c r="B554" t="s">
        <v>224</v>
      </c>
      <c r="C554" t="s">
        <v>225</v>
      </c>
      <c r="D554">
        <v>656</v>
      </c>
      <c r="E554" t="s">
        <v>1011</v>
      </c>
      <c r="F554" t="s">
        <v>912</v>
      </c>
      <c r="G554" t="s">
        <v>1012</v>
      </c>
      <c r="H554" t="s">
        <v>1047</v>
      </c>
      <c r="I554" t="s">
        <v>54</v>
      </c>
      <c r="J554" t="s">
        <v>1048</v>
      </c>
      <c r="K554" t="s">
        <v>56</v>
      </c>
      <c r="L554">
        <v>0</v>
      </c>
      <c r="M554" t="s">
        <v>73</v>
      </c>
      <c r="N554">
        <v>0</v>
      </c>
      <c r="O554" t="s">
        <v>58</v>
      </c>
      <c r="P554" t="s">
        <v>59</v>
      </c>
      <c r="Q554" t="s">
        <v>1049</v>
      </c>
      <c r="R554" t="s">
        <v>1048</v>
      </c>
      <c r="S554" s="1">
        <v>44447</v>
      </c>
      <c r="T554" s="1">
        <v>44453</v>
      </c>
      <c r="U554">
        <v>37501</v>
      </c>
      <c r="V554" t="s">
        <v>61</v>
      </c>
      <c r="W554" t="s">
        <v>1050</v>
      </c>
      <c r="X554" s="1">
        <v>44460</v>
      </c>
      <c r="Y554" t="s">
        <v>207</v>
      </c>
      <c r="Z554">
        <v>37.14</v>
      </c>
      <c r="AA554">
        <v>16</v>
      </c>
      <c r="AB554">
        <v>3.86</v>
      </c>
      <c r="AC554">
        <v>0</v>
      </c>
      <c r="AD554">
        <v>41</v>
      </c>
      <c r="AE554">
        <v>5707.37</v>
      </c>
      <c r="AF554">
        <v>7988</v>
      </c>
      <c r="AG554" t="s">
        <v>1016</v>
      </c>
      <c r="AH554" t="s">
        <v>65</v>
      </c>
      <c r="AI554" t="s">
        <v>65</v>
      </c>
      <c r="AJ554" t="s">
        <v>66</v>
      </c>
      <c r="AK554" t="s">
        <v>66</v>
      </c>
      <c r="AL554" t="s">
        <v>66</v>
      </c>
      <c r="AM554" s="2" t="str">
        <f>HYPERLINK("https://transparencia.cidesi.mx/comprobantes/2021/CQ2100850 /C9F344550371_CCO8605231N4.pdf")</f>
        <v>https://transparencia.cidesi.mx/comprobantes/2021/CQ2100850 /C9F344550371_CCO8605231N4.pdf</v>
      </c>
      <c r="AN554" t="str">
        <f>HYPERLINK("https://transparencia.cidesi.mx/comprobantes/2021/CQ2100850 /C9F344550371_CCO8605231N4.pdf")</f>
        <v>https://transparencia.cidesi.mx/comprobantes/2021/CQ2100850 /C9F344550371_CCO8605231N4.pdf</v>
      </c>
      <c r="AO554" t="str">
        <f>HYPERLINK("https://transparencia.cidesi.mx/comprobantes/2021/CQ2100850 /C9F344550371_CCO8605231N4.xml")</f>
        <v>https://transparencia.cidesi.mx/comprobantes/2021/CQ2100850 /C9F344550371_CCO8605231N4.xml</v>
      </c>
      <c r="AP554" t="s">
        <v>1051</v>
      </c>
      <c r="AQ554" t="s">
        <v>1052</v>
      </c>
      <c r="AR554" t="s">
        <v>1053</v>
      </c>
      <c r="AS554" t="s">
        <v>1031</v>
      </c>
      <c r="AT554" s="1">
        <v>44461</v>
      </c>
      <c r="AU554" t="s">
        <v>73</v>
      </c>
    </row>
    <row r="555" spans="1:47" x14ac:dyDescent="0.3">
      <c r="A555" t="s">
        <v>47</v>
      </c>
      <c r="B555" t="s">
        <v>224</v>
      </c>
      <c r="C555" t="s">
        <v>225</v>
      </c>
      <c r="D555">
        <v>656</v>
      </c>
      <c r="E555" t="s">
        <v>1011</v>
      </c>
      <c r="F555" t="s">
        <v>912</v>
      </c>
      <c r="G555" t="s">
        <v>1012</v>
      </c>
      <c r="H555" t="s">
        <v>1047</v>
      </c>
      <c r="I555" t="s">
        <v>54</v>
      </c>
      <c r="J555" t="s">
        <v>1048</v>
      </c>
      <c r="K555" t="s">
        <v>56</v>
      </c>
      <c r="L555">
        <v>0</v>
      </c>
      <c r="M555" t="s">
        <v>73</v>
      </c>
      <c r="N555">
        <v>0</v>
      </c>
      <c r="O555" t="s">
        <v>58</v>
      </c>
      <c r="P555" t="s">
        <v>59</v>
      </c>
      <c r="Q555" t="s">
        <v>1049</v>
      </c>
      <c r="R555" t="s">
        <v>1048</v>
      </c>
      <c r="S555" s="1">
        <v>44447</v>
      </c>
      <c r="T555" s="1">
        <v>44453</v>
      </c>
      <c r="U555">
        <v>37501</v>
      </c>
      <c r="V555" t="s">
        <v>61</v>
      </c>
      <c r="W555" t="s">
        <v>1050</v>
      </c>
      <c r="X555" s="1">
        <v>44460</v>
      </c>
      <c r="Y555" t="s">
        <v>207</v>
      </c>
      <c r="Z555">
        <v>64.33</v>
      </c>
      <c r="AA555">
        <v>16</v>
      </c>
      <c r="AB555">
        <v>7.17</v>
      </c>
      <c r="AC555">
        <v>0</v>
      </c>
      <c r="AD555">
        <v>71.5</v>
      </c>
      <c r="AE555">
        <v>5707.37</v>
      </c>
      <c r="AF555">
        <v>7988</v>
      </c>
      <c r="AG555" t="s">
        <v>1016</v>
      </c>
      <c r="AH555" t="s">
        <v>65</v>
      </c>
      <c r="AI555" t="s">
        <v>65</v>
      </c>
      <c r="AJ555" t="s">
        <v>66</v>
      </c>
      <c r="AK555" t="s">
        <v>66</v>
      </c>
      <c r="AL555" t="s">
        <v>66</v>
      </c>
      <c r="AM555" s="2" t="str">
        <f>HYPERLINK("https://transparencia.cidesi.mx/comprobantes/2021/CQ2100850 /C10F344550805_CCO8605231N4.pdf")</f>
        <v>https://transparencia.cidesi.mx/comprobantes/2021/CQ2100850 /C10F344550805_CCO8605231N4.pdf</v>
      </c>
      <c r="AN555" t="str">
        <f>HYPERLINK("https://transparencia.cidesi.mx/comprobantes/2021/CQ2100850 /C10F344550805_CCO8605231N4.pdf")</f>
        <v>https://transparencia.cidesi.mx/comprobantes/2021/CQ2100850 /C10F344550805_CCO8605231N4.pdf</v>
      </c>
      <c r="AO555" t="str">
        <f>HYPERLINK("https://transparencia.cidesi.mx/comprobantes/2021/CQ2100850 /C10F344550805_CCO8605231N4.xml")</f>
        <v>https://transparencia.cidesi.mx/comprobantes/2021/CQ2100850 /C10F344550805_CCO8605231N4.xml</v>
      </c>
      <c r="AP555" t="s">
        <v>1051</v>
      </c>
      <c r="AQ555" t="s">
        <v>1052</v>
      </c>
      <c r="AR555" t="s">
        <v>1053</v>
      </c>
      <c r="AS555" t="s">
        <v>1031</v>
      </c>
      <c r="AT555" s="1">
        <v>44461</v>
      </c>
      <c r="AU555" t="s">
        <v>73</v>
      </c>
    </row>
    <row r="556" spans="1:47" x14ac:dyDescent="0.3">
      <c r="A556" t="s">
        <v>47</v>
      </c>
      <c r="B556" t="s">
        <v>224</v>
      </c>
      <c r="C556" t="s">
        <v>225</v>
      </c>
      <c r="D556">
        <v>656</v>
      </c>
      <c r="E556" t="s">
        <v>1011</v>
      </c>
      <c r="F556" t="s">
        <v>912</v>
      </c>
      <c r="G556" t="s">
        <v>1012</v>
      </c>
      <c r="H556" t="s">
        <v>1047</v>
      </c>
      <c r="I556" t="s">
        <v>54</v>
      </c>
      <c r="J556" t="s">
        <v>1048</v>
      </c>
      <c r="K556" t="s">
        <v>56</v>
      </c>
      <c r="L556">
        <v>0</v>
      </c>
      <c r="M556" t="s">
        <v>73</v>
      </c>
      <c r="N556">
        <v>0</v>
      </c>
      <c r="O556" t="s">
        <v>58</v>
      </c>
      <c r="P556" t="s">
        <v>59</v>
      </c>
      <c r="Q556" t="s">
        <v>1049</v>
      </c>
      <c r="R556" t="s">
        <v>1048</v>
      </c>
      <c r="S556" s="1">
        <v>44447</v>
      </c>
      <c r="T556" s="1">
        <v>44453</v>
      </c>
      <c r="U556">
        <v>37501</v>
      </c>
      <c r="V556" t="s">
        <v>61</v>
      </c>
      <c r="W556" t="s">
        <v>1050</v>
      </c>
      <c r="X556" s="1">
        <v>44460</v>
      </c>
      <c r="Y556" t="s">
        <v>207</v>
      </c>
      <c r="Z556">
        <v>49.33</v>
      </c>
      <c r="AA556">
        <v>16</v>
      </c>
      <c r="AB556">
        <v>5.17</v>
      </c>
      <c r="AC556">
        <v>0</v>
      </c>
      <c r="AD556">
        <v>54.5</v>
      </c>
      <c r="AE556">
        <v>5707.37</v>
      </c>
      <c r="AF556">
        <v>7988</v>
      </c>
      <c r="AG556" t="s">
        <v>1016</v>
      </c>
      <c r="AH556" t="s">
        <v>65</v>
      </c>
      <c r="AI556" t="s">
        <v>65</v>
      </c>
      <c r="AJ556" t="s">
        <v>66</v>
      </c>
      <c r="AK556" t="s">
        <v>66</v>
      </c>
      <c r="AL556" t="s">
        <v>66</v>
      </c>
      <c r="AM556" s="2" t="str">
        <f>HYPERLINK("https://transparencia.cidesi.mx/comprobantes/2021/CQ2100850 /C11F344551287_CCO8605231N4.pdf")</f>
        <v>https://transparencia.cidesi.mx/comprobantes/2021/CQ2100850 /C11F344551287_CCO8605231N4.pdf</v>
      </c>
      <c r="AN556" t="str">
        <f>HYPERLINK("https://transparencia.cidesi.mx/comprobantes/2021/CQ2100850 /C11F344551287_CCO8605231N4.pdf")</f>
        <v>https://transparencia.cidesi.mx/comprobantes/2021/CQ2100850 /C11F344551287_CCO8605231N4.pdf</v>
      </c>
      <c r="AO556" t="str">
        <f>HYPERLINK("https://transparencia.cidesi.mx/comprobantes/2021/CQ2100850 /C11F344551287_CCO8605231N4.xml")</f>
        <v>https://transparencia.cidesi.mx/comprobantes/2021/CQ2100850 /C11F344551287_CCO8605231N4.xml</v>
      </c>
      <c r="AP556" t="s">
        <v>1051</v>
      </c>
      <c r="AQ556" t="s">
        <v>1052</v>
      </c>
      <c r="AR556" t="s">
        <v>1053</v>
      </c>
      <c r="AS556" t="s">
        <v>1031</v>
      </c>
      <c r="AT556" s="1">
        <v>44461</v>
      </c>
      <c r="AU556" t="s">
        <v>73</v>
      </c>
    </row>
    <row r="557" spans="1:47" x14ac:dyDescent="0.3">
      <c r="A557" t="s">
        <v>47</v>
      </c>
      <c r="B557" t="s">
        <v>224</v>
      </c>
      <c r="C557" t="s">
        <v>225</v>
      </c>
      <c r="D557">
        <v>656</v>
      </c>
      <c r="E557" t="s">
        <v>1011</v>
      </c>
      <c r="F557" t="s">
        <v>912</v>
      </c>
      <c r="G557" t="s">
        <v>1012</v>
      </c>
      <c r="H557" t="s">
        <v>1047</v>
      </c>
      <c r="I557" t="s">
        <v>54</v>
      </c>
      <c r="J557" t="s">
        <v>1048</v>
      </c>
      <c r="K557" t="s">
        <v>56</v>
      </c>
      <c r="L557">
        <v>0</v>
      </c>
      <c r="M557" t="s">
        <v>73</v>
      </c>
      <c r="N557">
        <v>0</v>
      </c>
      <c r="O557" t="s">
        <v>58</v>
      </c>
      <c r="P557" t="s">
        <v>59</v>
      </c>
      <c r="Q557" t="s">
        <v>1049</v>
      </c>
      <c r="R557" t="s">
        <v>1048</v>
      </c>
      <c r="S557" s="1">
        <v>44447</v>
      </c>
      <c r="T557" s="1">
        <v>44453</v>
      </c>
      <c r="U557">
        <v>37501</v>
      </c>
      <c r="V557" t="s">
        <v>104</v>
      </c>
      <c r="W557" t="s">
        <v>1050</v>
      </c>
      <c r="X557" s="1">
        <v>44460</v>
      </c>
      <c r="Y557" t="s">
        <v>207</v>
      </c>
      <c r="Z557">
        <v>562.61</v>
      </c>
      <c r="AA557">
        <v>16</v>
      </c>
      <c r="AB557">
        <v>87.4</v>
      </c>
      <c r="AC557">
        <v>0</v>
      </c>
      <c r="AD557">
        <v>650.01</v>
      </c>
      <c r="AE557">
        <v>5707.37</v>
      </c>
      <c r="AF557">
        <v>7988</v>
      </c>
      <c r="AG557" t="s">
        <v>1032</v>
      </c>
      <c r="AH557" t="s">
        <v>65</v>
      </c>
      <c r="AI557" t="s">
        <v>65</v>
      </c>
      <c r="AJ557" t="s">
        <v>66</v>
      </c>
      <c r="AK557" t="s">
        <v>66</v>
      </c>
      <c r="AL557" t="s">
        <v>66</v>
      </c>
      <c r="AM557" s="2" t="str">
        <f>HYPERLINK("https://transparencia.cidesi.mx/comprobantes/2021/CQ2100850 /C12FF44449_AAPA610627RC0.pdf")</f>
        <v>https://transparencia.cidesi.mx/comprobantes/2021/CQ2100850 /C12FF44449_AAPA610627RC0.pdf</v>
      </c>
      <c r="AN557" t="str">
        <f>HYPERLINK("https://transparencia.cidesi.mx/comprobantes/2021/CQ2100850 /C12FF44449_AAPA610627RC0.pdf")</f>
        <v>https://transparencia.cidesi.mx/comprobantes/2021/CQ2100850 /C12FF44449_AAPA610627RC0.pdf</v>
      </c>
      <c r="AO557" t="str">
        <f>HYPERLINK("https://transparencia.cidesi.mx/comprobantes/2021/CQ2100850 /C12FF44449_AAPA610627RC0.xml")</f>
        <v>https://transparencia.cidesi.mx/comprobantes/2021/CQ2100850 /C12FF44449_AAPA610627RC0.xml</v>
      </c>
      <c r="AP557" t="s">
        <v>1051</v>
      </c>
      <c r="AQ557" t="s">
        <v>1052</v>
      </c>
      <c r="AR557" t="s">
        <v>1053</v>
      </c>
      <c r="AS557" t="s">
        <v>1031</v>
      </c>
      <c r="AT557" s="1">
        <v>44461</v>
      </c>
      <c r="AU557" t="s">
        <v>73</v>
      </c>
    </row>
    <row r="558" spans="1:47" x14ac:dyDescent="0.3">
      <c r="A558" t="s">
        <v>47</v>
      </c>
      <c r="B558" t="s">
        <v>224</v>
      </c>
      <c r="C558" t="s">
        <v>225</v>
      </c>
      <c r="D558">
        <v>656</v>
      </c>
      <c r="E558" t="s">
        <v>1011</v>
      </c>
      <c r="F558" t="s">
        <v>912</v>
      </c>
      <c r="G558" t="s">
        <v>1012</v>
      </c>
      <c r="H558" t="s">
        <v>1047</v>
      </c>
      <c r="I558" t="s">
        <v>54</v>
      </c>
      <c r="J558" t="s">
        <v>1048</v>
      </c>
      <c r="K558" t="s">
        <v>56</v>
      </c>
      <c r="L558">
        <v>0</v>
      </c>
      <c r="M558" t="s">
        <v>73</v>
      </c>
      <c r="N558">
        <v>0</v>
      </c>
      <c r="O558" t="s">
        <v>58</v>
      </c>
      <c r="P558" t="s">
        <v>59</v>
      </c>
      <c r="Q558" t="s">
        <v>1049</v>
      </c>
      <c r="R558" t="s">
        <v>1048</v>
      </c>
      <c r="S558" s="1">
        <v>44447</v>
      </c>
      <c r="T558" s="1">
        <v>44453</v>
      </c>
      <c r="U558">
        <v>37501</v>
      </c>
      <c r="V558" t="s">
        <v>104</v>
      </c>
      <c r="W558" t="s">
        <v>1050</v>
      </c>
      <c r="X558" s="1">
        <v>44460</v>
      </c>
      <c r="Y558" t="s">
        <v>207</v>
      </c>
      <c r="Z558">
        <v>1940.56</v>
      </c>
      <c r="AA558">
        <v>16</v>
      </c>
      <c r="AB558">
        <v>301.45</v>
      </c>
      <c r="AC558">
        <v>0</v>
      </c>
      <c r="AD558">
        <v>2242.0100000000002</v>
      </c>
      <c r="AE558">
        <v>5707.37</v>
      </c>
      <c r="AF558">
        <v>7988</v>
      </c>
      <c r="AG558" t="s">
        <v>1032</v>
      </c>
      <c r="AH558" t="s">
        <v>65</v>
      </c>
      <c r="AI558" t="s">
        <v>65</v>
      </c>
      <c r="AJ558" t="s">
        <v>66</v>
      </c>
      <c r="AK558" t="s">
        <v>66</v>
      </c>
      <c r="AL558" t="s">
        <v>66</v>
      </c>
      <c r="AM558" s="2" t="str">
        <f>HYPERLINK("https://transparencia.cidesi.mx/comprobantes/2021/CQ2100850 /C13FM3259_HAC171218L60.pdf")</f>
        <v>https://transparencia.cidesi.mx/comprobantes/2021/CQ2100850 /C13FM3259_HAC171218L60.pdf</v>
      </c>
      <c r="AN558" t="str">
        <f>HYPERLINK("https://transparencia.cidesi.mx/comprobantes/2021/CQ2100850 /C13FM3259_HAC171218L60.pdf")</f>
        <v>https://transparencia.cidesi.mx/comprobantes/2021/CQ2100850 /C13FM3259_HAC171218L60.pdf</v>
      </c>
      <c r="AO558" t="str">
        <f>HYPERLINK("https://transparencia.cidesi.mx/comprobantes/2021/CQ2100850 /C13FM3259_HAC171218L60.xml")</f>
        <v>https://transparencia.cidesi.mx/comprobantes/2021/CQ2100850 /C13FM3259_HAC171218L60.xml</v>
      </c>
      <c r="AP558" t="s">
        <v>1051</v>
      </c>
      <c r="AQ558" t="s">
        <v>1052</v>
      </c>
      <c r="AR558" t="s">
        <v>1053</v>
      </c>
      <c r="AS558" t="s">
        <v>1031</v>
      </c>
      <c r="AT558" s="1">
        <v>44461</v>
      </c>
      <c r="AU558" t="s">
        <v>73</v>
      </c>
    </row>
    <row r="559" spans="1:47" x14ac:dyDescent="0.3">
      <c r="A559" t="s">
        <v>47</v>
      </c>
      <c r="B559" t="s">
        <v>224</v>
      </c>
      <c r="C559" t="s">
        <v>225</v>
      </c>
      <c r="D559">
        <v>656</v>
      </c>
      <c r="E559" t="s">
        <v>1011</v>
      </c>
      <c r="F559" t="s">
        <v>912</v>
      </c>
      <c r="G559" t="s">
        <v>1012</v>
      </c>
      <c r="H559" t="s">
        <v>1047</v>
      </c>
      <c r="I559" t="s">
        <v>54</v>
      </c>
      <c r="J559" t="s">
        <v>1048</v>
      </c>
      <c r="K559" t="s">
        <v>56</v>
      </c>
      <c r="L559">
        <v>0</v>
      </c>
      <c r="M559" t="s">
        <v>73</v>
      </c>
      <c r="N559">
        <v>0</v>
      </c>
      <c r="O559" t="s">
        <v>58</v>
      </c>
      <c r="P559" t="s">
        <v>59</v>
      </c>
      <c r="Q559" t="s">
        <v>1049</v>
      </c>
      <c r="R559" t="s">
        <v>1048</v>
      </c>
      <c r="S559" s="1">
        <v>44447</v>
      </c>
      <c r="T559" s="1">
        <v>44453</v>
      </c>
      <c r="U559">
        <v>37501</v>
      </c>
      <c r="V559" t="s">
        <v>61</v>
      </c>
      <c r="W559" t="s">
        <v>1050</v>
      </c>
      <c r="X559" s="1">
        <v>44460</v>
      </c>
      <c r="Y559" t="s">
        <v>207</v>
      </c>
      <c r="Z559">
        <v>312.93</v>
      </c>
      <c r="AA559">
        <v>16</v>
      </c>
      <c r="AB559">
        <v>50.07</v>
      </c>
      <c r="AC559">
        <v>36.299999999999997</v>
      </c>
      <c r="AD559">
        <v>399.3</v>
      </c>
      <c r="AE559">
        <v>5707.37</v>
      </c>
      <c r="AF559">
        <v>7988</v>
      </c>
      <c r="AG559" t="s">
        <v>1016</v>
      </c>
      <c r="AH559" t="s">
        <v>65</v>
      </c>
      <c r="AI559" t="s">
        <v>65</v>
      </c>
      <c r="AJ559" t="s">
        <v>66</v>
      </c>
      <c r="AK559" t="s">
        <v>66</v>
      </c>
      <c r="AL559" t="s">
        <v>66</v>
      </c>
      <c r="AM559" s="2" t="str">
        <f>HYPERLINK("https://transparencia.cidesi.mx/comprobantes/2021/CQ2100850 /C14F38221_RORR791119M94.pdf")</f>
        <v>https://transparencia.cidesi.mx/comprobantes/2021/CQ2100850 /C14F38221_RORR791119M94.pdf</v>
      </c>
      <c r="AN559" t="str">
        <f>HYPERLINK("https://transparencia.cidesi.mx/comprobantes/2021/CQ2100850 /C14F38221_RORR791119M94.pdf")</f>
        <v>https://transparencia.cidesi.mx/comprobantes/2021/CQ2100850 /C14F38221_RORR791119M94.pdf</v>
      </c>
      <c r="AO559" t="str">
        <f>HYPERLINK("https://transparencia.cidesi.mx/comprobantes/2021/CQ2100850 /C14F38221_RORR791119M94.xml")</f>
        <v>https://transparencia.cidesi.mx/comprobantes/2021/CQ2100850 /C14F38221_RORR791119M94.xml</v>
      </c>
      <c r="AP559" t="s">
        <v>1051</v>
      </c>
      <c r="AQ559" t="s">
        <v>1052</v>
      </c>
      <c r="AR559" t="s">
        <v>1053</v>
      </c>
      <c r="AS559" t="s">
        <v>1031</v>
      </c>
      <c r="AT559" s="1">
        <v>44461</v>
      </c>
      <c r="AU559" t="s">
        <v>73</v>
      </c>
    </row>
    <row r="560" spans="1:47" x14ac:dyDescent="0.3">
      <c r="A560" t="s">
        <v>47</v>
      </c>
      <c r="B560" t="s">
        <v>224</v>
      </c>
      <c r="C560" t="s">
        <v>225</v>
      </c>
      <c r="D560">
        <v>657</v>
      </c>
      <c r="E560" t="s">
        <v>1054</v>
      </c>
      <c r="F560" t="s">
        <v>1055</v>
      </c>
      <c r="G560" t="s">
        <v>1056</v>
      </c>
      <c r="H560" t="s">
        <v>1057</v>
      </c>
      <c r="I560" t="s">
        <v>54</v>
      </c>
      <c r="J560" t="s">
        <v>1058</v>
      </c>
      <c r="K560" t="s">
        <v>56</v>
      </c>
      <c r="L560">
        <v>0</v>
      </c>
      <c r="M560" t="s">
        <v>73</v>
      </c>
      <c r="N560">
        <v>0</v>
      </c>
      <c r="O560" t="s">
        <v>58</v>
      </c>
      <c r="P560" t="s">
        <v>59</v>
      </c>
      <c r="Q560" t="s">
        <v>252</v>
      </c>
      <c r="R560" t="s">
        <v>1058</v>
      </c>
      <c r="S560" s="1">
        <v>44378</v>
      </c>
      <c r="T560" s="1">
        <v>44378</v>
      </c>
      <c r="U560">
        <v>37501</v>
      </c>
      <c r="V560" t="s">
        <v>61</v>
      </c>
      <c r="W560" t="s">
        <v>1059</v>
      </c>
      <c r="X560" s="1">
        <v>44383</v>
      </c>
      <c r="Y560" t="s">
        <v>63</v>
      </c>
      <c r="Z560">
        <v>370.78</v>
      </c>
      <c r="AA560">
        <v>16</v>
      </c>
      <c r="AB560">
        <v>59.32</v>
      </c>
      <c r="AC560">
        <v>0</v>
      </c>
      <c r="AD560">
        <v>430.1</v>
      </c>
      <c r="AE560">
        <v>517.1</v>
      </c>
      <c r="AF560">
        <v>545</v>
      </c>
      <c r="AG560" t="s">
        <v>1060</v>
      </c>
      <c r="AH560" t="s">
        <v>65</v>
      </c>
      <c r="AI560" t="s">
        <v>65</v>
      </c>
      <c r="AJ560" t="s">
        <v>66</v>
      </c>
      <c r="AK560" t="s">
        <v>66</v>
      </c>
      <c r="AL560" t="s">
        <v>66</v>
      </c>
      <c r="AM560" s="2" t="str">
        <f>HYPERLINK("https://transparencia.cidesi.mx/comprobantes/2021/CQ2100462 /C1FA0000034488_MATE820606AX0.pdf")</f>
        <v>https://transparencia.cidesi.mx/comprobantes/2021/CQ2100462 /C1FA0000034488_MATE820606AX0.pdf</v>
      </c>
      <c r="AN560" t="str">
        <f>HYPERLINK("https://transparencia.cidesi.mx/comprobantes/2021/CQ2100462 /C1FA0000034488_MATE820606AX0.pdf")</f>
        <v>https://transparencia.cidesi.mx/comprobantes/2021/CQ2100462 /C1FA0000034488_MATE820606AX0.pdf</v>
      </c>
      <c r="AO560" t="str">
        <f>HYPERLINK("https://transparencia.cidesi.mx/comprobantes/2021/CQ2100462 /C1FA0000034488_MATE820606AX0.xml")</f>
        <v>https://transparencia.cidesi.mx/comprobantes/2021/CQ2100462 /C1FA0000034488_MATE820606AX0.xml</v>
      </c>
      <c r="AP560" t="s">
        <v>1061</v>
      </c>
      <c r="AQ560" t="s">
        <v>1062</v>
      </c>
      <c r="AR560" t="s">
        <v>1063</v>
      </c>
      <c r="AS560" t="s">
        <v>1064</v>
      </c>
      <c r="AT560" s="1">
        <v>44384</v>
      </c>
      <c r="AU560" s="1">
        <v>44389</v>
      </c>
    </row>
    <row r="561" spans="1:47" x14ac:dyDescent="0.3">
      <c r="A561" t="s">
        <v>47</v>
      </c>
      <c r="B561" t="s">
        <v>224</v>
      </c>
      <c r="C561" t="s">
        <v>225</v>
      </c>
      <c r="D561">
        <v>657</v>
      </c>
      <c r="E561" t="s">
        <v>1054</v>
      </c>
      <c r="F561" t="s">
        <v>1055</v>
      </c>
      <c r="G561" t="s">
        <v>1056</v>
      </c>
      <c r="H561" t="s">
        <v>1057</v>
      </c>
      <c r="I561" t="s">
        <v>54</v>
      </c>
      <c r="J561" t="s">
        <v>1058</v>
      </c>
      <c r="K561" t="s">
        <v>56</v>
      </c>
      <c r="L561">
        <v>0</v>
      </c>
      <c r="M561" t="s">
        <v>73</v>
      </c>
      <c r="N561">
        <v>0</v>
      </c>
      <c r="O561" t="s">
        <v>58</v>
      </c>
      <c r="P561" t="s">
        <v>59</v>
      </c>
      <c r="Q561" t="s">
        <v>252</v>
      </c>
      <c r="R561" t="s">
        <v>1058</v>
      </c>
      <c r="S561" s="1">
        <v>44378</v>
      </c>
      <c r="T561" s="1">
        <v>44378</v>
      </c>
      <c r="U561">
        <v>37501</v>
      </c>
      <c r="V561" t="s">
        <v>61</v>
      </c>
      <c r="W561" t="s">
        <v>1059</v>
      </c>
      <c r="X561" s="1">
        <v>44383</v>
      </c>
      <c r="Y561" t="s">
        <v>63</v>
      </c>
      <c r="Z561">
        <v>87</v>
      </c>
      <c r="AA561">
        <v>0</v>
      </c>
      <c r="AB561">
        <v>0</v>
      </c>
      <c r="AC561">
        <v>0</v>
      </c>
      <c r="AD561">
        <v>87</v>
      </c>
      <c r="AE561">
        <v>517.1</v>
      </c>
      <c r="AF561">
        <v>545</v>
      </c>
      <c r="AG561" t="s">
        <v>1060</v>
      </c>
      <c r="AH561" t="s">
        <v>65</v>
      </c>
      <c r="AI561" t="s">
        <v>65</v>
      </c>
      <c r="AJ561" t="s">
        <v>66</v>
      </c>
      <c r="AK561" t="s">
        <v>66</v>
      </c>
      <c r="AL561" t="s">
        <v>66</v>
      </c>
      <c r="AM561" s="2" t="str">
        <f>HYPERLINK("https://transparencia.cidesi.mx/comprobantes/2021/CQ2100462 /C2335958693_CCO8605231N4.pdf")</f>
        <v>https://transparencia.cidesi.mx/comprobantes/2021/CQ2100462 /C2335958693_CCO8605231N4.pdf</v>
      </c>
      <c r="AN561" t="str">
        <f>HYPERLINK("https://transparencia.cidesi.mx/comprobantes/2021/CQ2100462 /C2335958693_CCO8605231N4.pdf")</f>
        <v>https://transparencia.cidesi.mx/comprobantes/2021/CQ2100462 /C2335958693_CCO8605231N4.pdf</v>
      </c>
      <c r="AO561" t="str">
        <f>HYPERLINK("https://transparencia.cidesi.mx/comprobantes/2021/CQ2100462 /C2335958693_CCO8605231N4.xml")</f>
        <v>https://transparencia.cidesi.mx/comprobantes/2021/CQ2100462 /C2335958693_CCO8605231N4.xml</v>
      </c>
      <c r="AP561" t="s">
        <v>1061</v>
      </c>
      <c r="AQ561" t="s">
        <v>1062</v>
      </c>
      <c r="AR561" t="s">
        <v>1063</v>
      </c>
      <c r="AS561" t="s">
        <v>1064</v>
      </c>
      <c r="AT561" s="1">
        <v>44384</v>
      </c>
      <c r="AU561" s="1">
        <v>44389</v>
      </c>
    </row>
    <row r="562" spans="1:47" x14ac:dyDescent="0.3">
      <c r="A562" t="s">
        <v>47</v>
      </c>
      <c r="B562" t="s">
        <v>224</v>
      </c>
      <c r="C562" t="s">
        <v>225</v>
      </c>
      <c r="D562">
        <v>657</v>
      </c>
      <c r="E562" t="s">
        <v>1054</v>
      </c>
      <c r="F562" t="s">
        <v>1055</v>
      </c>
      <c r="G562" t="s">
        <v>1056</v>
      </c>
      <c r="H562" t="s">
        <v>1065</v>
      </c>
      <c r="I562" t="s">
        <v>54</v>
      </c>
      <c r="J562" t="s">
        <v>1066</v>
      </c>
      <c r="K562" t="s">
        <v>56</v>
      </c>
      <c r="L562">
        <v>0</v>
      </c>
      <c r="M562" t="s">
        <v>73</v>
      </c>
      <c r="N562">
        <v>0</v>
      </c>
      <c r="O562" t="s">
        <v>58</v>
      </c>
      <c r="P562" t="s">
        <v>59</v>
      </c>
      <c r="Q562" t="s">
        <v>216</v>
      </c>
      <c r="R562" t="s">
        <v>1066</v>
      </c>
      <c r="S562" s="1">
        <v>44379</v>
      </c>
      <c r="T562" s="1">
        <v>44379</v>
      </c>
      <c r="U562">
        <v>37501</v>
      </c>
      <c r="V562" t="s">
        <v>61</v>
      </c>
      <c r="W562" t="s">
        <v>1067</v>
      </c>
      <c r="X562" s="1">
        <v>44383</v>
      </c>
      <c r="Y562" t="s">
        <v>63</v>
      </c>
      <c r="Z562">
        <v>40.020000000000003</v>
      </c>
      <c r="AA562">
        <v>16</v>
      </c>
      <c r="AB562">
        <v>4.4800000000000004</v>
      </c>
      <c r="AC562">
        <v>0</v>
      </c>
      <c r="AD562">
        <v>44.5</v>
      </c>
      <c r="AE562">
        <v>533.20000000000005</v>
      </c>
      <c r="AF562">
        <v>545</v>
      </c>
      <c r="AG562" t="s">
        <v>1060</v>
      </c>
      <c r="AH562" t="s">
        <v>65</v>
      </c>
      <c r="AI562" t="s">
        <v>65</v>
      </c>
      <c r="AJ562" t="s">
        <v>66</v>
      </c>
      <c r="AK562" t="s">
        <v>66</v>
      </c>
      <c r="AL562" t="s">
        <v>66</v>
      </c>
      <c r="AM562" s="2" t="str">
        <f>HYPERLINK("https://transparencia.cidesi.mx/comprobantes/2021/CQ2100463 /C2336130725_CCO8605231N4.pdf")</f>
        <v>https://transparencia.cidesi.mx/comprobantes/2021/CQ2100463 /C2336130725_CCO8605231N4.pdf</v>
      </c>
      <c r="AN562" t="str">
        <f>HYPERLINK("https://transparencia.cidesi.mx/comprobantes/2021/CQ2100463 /C2336130725_CCO8605231N4.pdf")</f>
        <v>https://transparencia.cidesi.mx/comprobantes/2021/CQ2100463 /C2336130725_CCO8605231N4.pdf</v>
      </c>
      <c r="AO562" t="str">
        <f>HYPERLINK("https://transparencia.cidesi.mx/comprobantes/2021/CQ2100463 /C2336130725_CCO8605231N4.xml")</f>
        <v>https://transparencia.cidesi.mx/comprobantes/2021/CQ2100463 /C2336130725_CCO8605231N4.xml</v>
      </c>
      <c r="AP562" t="s">
        <v>1068</v>
      </c>
      <c r="AQ562" t="s">
        <v>1069</v>
      </c>
      <c r="AR562" t="s">
        <v>1070</v>
      </c>
      <c r="AS562" t="s">
        <v>1064</v>
      </c>
      <c r="AT562" s="1">
        <v>44384</v>
      </c>
      <c r="AU562" s="1">
        <v>44389</v>
      </c>
    </row>
    <row r="563" spans="1:47" x14ac:dyDescent="0.3">
      <c r="A563" t="s">
        <v>47</v>
      </c>
      <c r="B563" t="s">
        <v>224</v>
      </c>
      <c r="C563" t="s">
        <v>225</v>
      </c>
      <c r="D563">
        <v>657</v>
      </c>
      <c r="E563" t="s">
        <v>1054</v>
      </c>
      <c r="F563" t="s">
        <v>1055</v>
      </c>
      <c r="G563" t="s">
        <v>1056</v>
      </c>
      <c r="H563" t="s">
        <v>1065</v>
      </c>
      <c r="I563" t="s">
        <v>54</v>
      </c>
      <c r="J563" t="s">
        <v>1066</v>
      </c>
      <c r="K563" t="s">
        <v>56</v>
      </c>
      <c r="L563">
        <v>0</v>
      </c>
      <c r="M563" t="s">
        <v>73</v>
      </c>
      <c r="N563">
        <v>0</v>
      </c>
      <c r="O563" t="s">
        <v>58</v>
      </c>
      <c r="P563" t="s">
        <v>59</v>
      </c>
      <c r="Q563" t="s">
        <v>216</v>
      </c>
      <c r="R563" t="s">
        <v>1066</v>
      </c>
      <c r="S563" s="1">
        <v>44379</v>
      </c>
      <c r="T563" s="1">
        <v>44379</v>
      </c>
      <c r="U563">
        <v>37501</v>
      </c>
      <c r="V563" t="s">
        <v>61</v>
      </c>
      <c r="W563" t="s">
        <v>1067</v>
      </c>
      <c r="X563" s="1">
        <v>44383</v>
      </c>
      <c r="Y563" t="s">
        <v>63</v>
      </c>
      <c r="Z563">
        <v>383</v>
      </c>
      <c r="AA563">
        <v>16</v>
      </c>
      <c r="AB563">
        <v>61.28</v>
      </c>
      <c r="AC563">
        <v>44.42</v>
      </c>
      <c r="AD563">
        <v>488.7</v>
      </c>
      <c r="AE563">
        <v>533.20000000000005</v>
      </c>
      <c r="AF563">
        <v>545</v>
      </c>
      <c r="AG563" t="s">
        <v>1060</v>
      </c>
      <c r="AH563" t="s">
        <v>65</v>
      </c>
      <c r="AI563" t="s">
        <v>65</v>
      </c>
      <c r="AJ563" t="s">
        <v>66</v>
      </c>
      <c r="AK563" t="s">
        <v>66</v>
      </c>
      <c r="AL563" t="s">
        <v>66</v>
      </c>
      <c r="AM563" s="2" t="str">
        <f>HYPERLINK("https://transparencia.cidesi.mx/comprobantes/2021/CQ2100463 /C3fc55329F_RIGR660209GT4.pdf")</f>
        <v>https://transparencia.cidesi.mx/comprobantes/2021/CQ2100463 /C3fc55329F_RIGR660209GT4.pdf</v>
      </c>
      <c r="AN563" t="str">
        <f>HYPERLINK("https://transparencia.cidesi.mx/comprobantes/2021/CQ2100463 /C3fc55329F_RIGR660209GT4.pdf")</f>
        <v>https://transparencia.cidesi.mx/comprobantes/2021/CQ2100463 /C3fc55329F_RIGR660209GT4.pdf</v>
      </c>
      <c r="AO563" t="str">
        <f>HYPERLINK("https://transparencia.cidesi.mx/comprobantes/2021/CQ2100463 /C3fc55329F_RIGR660209GT4.xml")</f>
        <v>https://transparencia.cidesi.mx/comprobantes/2021/CQ2100463 /C3fc55329F_RIGR660209GT4.xml</v>
      </c>
      <c r="AP563" t="s">
        <v>1068</v>
      </c>
      <c r="AQ563" t="s">
        <v>1069</v>
      </c>
      <c r="AR563" t="s">
        <v>1070</v>
      </c>
      <c r="AS563" t="s">
        <v>1064</v>
      </c>
      <c r="AT563" s="1">
        <v>44384</v>
      </c>
      <c r="AU563" s="1">
        <v>44389</v>
      </c>
    </row>
    <row r="564" spans="1:47" x14ac:dyDescent="0.3">
      <c r="A564" t="s">
        <v>47</v>
      </c>
      <c r="B564" t="s">
        <v>224</v>
      </c>
      <c r="C564" t="s">
        <v>225</v>
      </c>
      <c r="D564">
        <v>657</v>
      </c>
      <c r="E564" t="s">
        <v>1054</v>
      </c>
      <c r="F564" t="s">
        <v>1055</v>
      </c>
      <c r="G564" t="s">
        <v>1056</v>
      </c>
      <c r="H564" t="s">
        <v>1071</v>
      </c>
      <c r="I564" t="s">
        <v>54</v>
      </c>
      <c r="J564" t="s">
        <v>1066</v>
      </c>
      <c r="K564" t="s">
        <v>56</v>
      </c>
      <c r="L564">
        <v>0</v>
      </c>
      <c r="M564" t="s">
        <v>73</v>
      </c>
      <c r="N564">
        <v>0</v>
      </c>
      <c r="O564" t="s">
        <v>58</v>
      </c>
      <c r="P564" t="s">
        <v>59</v>
      </c>
      <c r="Q564" t="s">
        <v>216</v>
      </c>
      <c r="R564" t="s">
        <v>1066</v>
      </c>
      <c r="S564" s="1">
        <v>44382</v>
      </c>
      <c r="T564" s="1">
        <v>44382</v>
      </c>
      <c r="U564">
        <v>37501</v>
      </c>
      <c r="V564" t="s">
        <v>61</v>
      </c>
      <c r="W564" t="s">
        <v>1072</v>
      </c>
      <c r="X564" s="1">
        <v>44383</v>
      </c>
      <c r="Y564" t="s">
        <v>63</v>
      </c>
      <c r="Z564">
        <v>377.59</v>
      </c>
      <c r="AA564">
        <v>16</v>
      </c>
      <c r="AB564">
        <v>60.41</v>
      </c>
      <c r="AC564">
        <v>44</v>
      </c>
      <c r="AD564">
        <v>482</v>
      </c>
      <c r="AE564">
        <v>538.5</v>
      </c>
      <c r="AF564">
        <v>545</v>
      </c>
      <c r="AG564" t="s">
        <v>1060</v>
      </c>
      <c r="AH564" t="s">
        <v>65</v>
      </c>
      <c r="AI564" t="s">
        <v>65</v>
      </c>
      <c r="AJ564" t="s">
        <v>66</v>
      </c>
      <c r="AK564" t="s">
        <v>66</v>
      </c>
      <c r="AL564" t="s">
        <v>66</v>
      </c>
      <c r="AM564" s="2" t="str">
        <f>HYPERLINK("https://transparencia.cidesi.mx/comprobantes/2021/CQ2100464 /C1F0000018720_SGI140703AN8.pdf")</f>
        <v>https://transparencia.cidesi.mx/comprobantes/2021/CQ2100464 /C1F0000018720_SGI140703AN8.pdf</v>
      </c>
      <c r="AN564" t="str">
        <f>HYPERLINK("https://transparencia.cidesi.mx/comprobantes/2021/CQ2100464 /C1F0000018720_SGI140703AN8.pdf")</f>
        <v>https://transparencia.cidesi.mx/comprobantes/2021/CQ2100464 /C1F0000018720_SGI140703AN8.pdf</v>
      </c>
      <c r="AO564" t="str">
        <f>HYPERLINK("https://transparencia.cidesi.mx/comprobantes/2021/CQ2100464 /C1F0000018720_SGI140703AN8.xml")</f>
        <v>https://transparencia.cidesi.mx/comprobantes/2021/CQ2100464 /C1F0000018720_SGI140703AN8.xml</v>
      </c>
      <c r="AP564" t="s">
        <v>1073</v>
      </c>
      <c r="AQ564" t="s">
        <v>1069</v>
      </c>
      <c r="AR564" t="s">
        <v>1074</v>
      </c>
      <c r="AS564" t="s">
        <v>1075</v>
      </c>
      <c r="AT564" s="1">
        <v>44384</v>
      </c>
      <c r="AU564" s="1">
        <v>44389</v>
      </c>
    </row>
    <row r="565" spans="1:47" x14ac:dyDescent="0.3">
      <c r="A565" t="s">
        <v>47</v>
      </c>
      <c r="B565" t="s">
        <v>224</v>
      </c>
      <c r="C565" t="s">
        <v>225</v>
      </c>
      <c r="D565">
        <v>657</v>
      </c>
      <c r="E565" t="s">
        <v>1054</v>
      </c>
      <c r="F565" t="s">
        <v>1055</v>
      </c>
      <c r="G565" t="s">
        <v>1056</v>
      </c>
      <c r="H565" t="s">
        <v>1071</v>
      </c>
      <c r="I565" t="s">
        <v>54</v>
      </c>
      <c r="J565" t="s">
        <v>1066</v>
      </c>
      <c r="K565" t="s">
        <v>56</v>
      </c>
      <c r="L565">
        <v>0</v>
      </c>
      <c r="M565" t="s">
        <v>73</v>
      </c>
      <c r="N565">
        <v>0</v>
      </c>
      <c r="O565" t="s">
        <v>58</v>
      </c>
      <c r="P565" t="s">
        <v>59</v>
      </c>
      <c r="Q565" t="s">
        <v>216</v>
      </c>
      <c r="R565" t="s">
        <v>1066</v>
      </c>
      <c r="S565" s="1">
        <v>44382</v>
      </c>
      <c r="T565" s="1">
        <v>44382</v>
      </c>
      <c r="U565">
        <v>37501</v>
      </c>
      <c r="V565" t="s">
        <v>61</v>
      </c>
      <c r="W565" t="s">
        <v>1072</v>
      </c>
      <c r="X565" s="1">
        <v>44383</v>
      </c>
      <c r="Y565" t="s">
        <v>63</v>
      </c>
      <c r="Z565">
        <v>52.02</v>
      </c>
      <c r="AA565">
        <v>16</v>
      </c>
      <c r="AB565">
        <v>4.4800000000000004</v>
      </c>
      <c r="AC565">
        <v>0</v>
      </c>
      <c r="AD565">
        <v>56.5</v>
      </c>
      <c r="AE565">
        <v>538.5</v>
      </c>
      <c r="AF565">
        <v>545</v>
      </c>
      <c r="AG565" t="s">
        <v>1060</v>
      </c>
      <c r="AH565" t="s">
        <v>65</v>
      </c>
      <c r="AI565" t="s">
        <v>65</v>
      </c>
      <c r="AJ565" t="s">
        <v>66</v>
      </c>
      <c r="AK565" t="s">
        <v>66</v>
      </c>
      <c r="AL565" t="s">
        <v>66</v>
      </c>
      <c r="AM565" s="2" t="str">
        <f>HYPERLINK("https://transparencia.cidesi.mx/comprobantes/2021/CQ2100464 /C2336360957_CCO8605231N4.pdf")</f>
        <v>https://transparencia.cidesi.mx/comprobantes/2021/CQ2100464 /C2336360957_CCO8605231N4.pdf</v>
      </c>
      <c r="AN565" t="str">
        <f>HYPERLINK("https://transparencia.cidesi.mx/comprobantes/2021/CQ2100464 /C2336360957_CCO8605231N4.pdf")</f>
        <v>https://transparencia.cidesi.mx/comprobantes/2021/CQ2100464 /C2336360957_CCO8605231N4.pdf</v>
      </c>
      <c r="AO565" t="str">
        <f>HYPERLINK("https://transparencia.cidesi.mx/comprobantes/2021/CQ2100464 /C2336360957_CCO8605231N4.xml")</f>
        <v>https://transparencia.cidesi.mx/comprobantes/2021/CQ2100464 /C2336360957_CCO8605231N4.xml</v>
      </c>
      <c r="AP565" t="s">
        <v>1073</v>
      </c>
      <c r="AQ565" t="s">
        <v>1069</v>
      </c>
      <c r="AR565" t="s">
        <v>1074</v>
      </c>
      <c r="AS565" t="s">
        <v>1075</v>
      </c>
      <c r="AT565" s="1">
        <v>44384</v>
      </c>
      <c r="AU565" s="1">
        <v>44389</v>
      </c>
    </row>
    <row r="566" spans="1:47" x14ac:dyDescent="0.3">
      <c r="A566" t="s">
        <v>47</v>
      </c>
      <c r="B566" t="s">
        <v>224</v>
      </c>
      <c r="C566" t="s">
        <v>225</v>
      </c>
      <c r="D566">
        <v>657</v>
      </c>
      <c r="E566" t="s">
        <v>1054</v>
      </c>
      <c r="F566" t="s">
        <v>1055</v>
      </c>
      <c r="G566" t="s">
        <v>1056</v>
      </c>
      <c r="H566" t="s">
        <v>1076</v>
      </c>
      <c r="I566" t="s">
        <v>54</v>
      </c>
      <c r="J566" t="s">
        <v>1077</v>
      </c>
      <c r="K566" t="s">
        <v>56</v>
      </c>
      <c r="L566">
        <v>0</v>
      </c>
      <c r="M566" t="s">
        <v>73</v>
      </c>
      <c r="N566">
        <v>0</v>
      </c>
      <c r="O566" t="s">
        <v>58</v>
      </c>
      <c r="P566" t="s">
        <v>59</v>
      </c>
      <c r="Q566" t="s">
        <v>252</v>
      </c>
      <c r="R566" t="s">
        <v>1077</v>
      </c>
      <c r="S566" s="1">
        <v>44448</v>
      </c>
      <c r="T566" s="1">
        <v>44448</v>
      </c>
      <c r="U566">
        <v>37501</v>
      </c>
      <c r="V566" t="s">
        <v>61</v>
      </c>
      <c r="W566" t="s">
        <v>1078</v>
      </c>
      <c r="X566" s="1">
        <v>44449</v>
      </c>
      <c r="Y566" t="s">
        <v>63</v>
      </c>
      <c r="Z566">
        <v>350</v>
      </c>
      <c r="AA566">
        <v>16</v>
      </c>
      <c r="AB566">
        <v>56</v>
      </c>
      <c r="AC566">
        <v>40</v>
      </c>
      <c r="AD566">
        <v>446</v>
      </c>
      <c r="AE566">
        <v>522</v>
      </c>
      <c r="AF566">
        <v>545</v>
      </c>
      <c r="AG566" t="s">
        <v>1060</v>
      </c>
      <c r="AH566" t="s">
        <v>65</v>
      </c>
      <c r="AI566" t="s">
        <v>65</v>
      </c>
      <c r="AJ566" t="s">
        <v>66</v>
      </c>
      <c r="AK566" t="s">
        <v>66</v>
      </c>
      <c r="AL566" t="s">
        <v>66</v>
      </c>
      <c r="AM566" s="2" t="str">
        <f>HYPERLINK("https://transparencia.cidesi.mx/comprobantes/2021/CQ2100772 /C1FF0000006360_GBA130705IC0.pdf")</f>
        <v>https://transparencia.cidesi.mx/comprobantes/2021/CQ2100772 /C1FF0000006360_GBA130705IC0.pdf</v>
      </c>
      <c r="AN566" t="str">
        <f>HYPERLINK("https://transparencia.cidesi.mx/comprobantes/2021/CQ2100772 /C1FF0000006360_GBA130705IC0.pdf")</f>
        <v>https://transparencia.cidesi.mx/comprobantes/2021/CQ2100772 /C1FF0000006360_GBA130705IC0.pdf</v>
      </c>
      <c r="AO566" t="str">
        <f>HYPERLINK("https://transparencia.cidesi.mx/comprobantes/2021/CQ2100772 /C1FF0000006360_GBA130705IC0.xml")</f>
        <v>https://transparencia.cidesi.mx/comprobantes/2021/CQ2100772 /C1FF0000006360_GBA130705IC0.xml</v>
      </c>
      <c r="AP566" t="s">
        <v>1079</v>
      </c>
      <c r="AQ566" t="s">
        <v>1080</v>
      </c>
      <c r="AR566" t="s">
        <v>1074</v>
      </c>
      <c r="AS566" t="s">
        <v>1075</v>
      </c>
      <c r="AT566" s="1">
        <v>44454</v>
      </c>
      <c r="AU566" s="1">
        <v>44470</v>
      </c>
    </row>
    <row r="567" spans="1:47" x14ac:dyDescent="0.3">
      <c r="A567" t="s">
        <v>47</v>
      </c>
      <c r="B567" t="s">
        <v>224</v>
      </c>
      <c r="C567" t="s">
        <v>225</v>
      </c>
      <c r="D567">
        <v>657</v>
      </c>
      <c r="E567" t="s">
        <v>1054</v>
      </c>
      <c r="F567" t="s">
        <v>1055</v>
      </c>
      <c r="G567" t="s">
        <v>1056</v>
      </c>
      <c r="H567" t="s">
        <v>1076</v>
      </c>
      <c r="I567" t="s">
        <v>54</v>
      </c>
      <c r="J567" t="s">
        <v>1077</v>
      </c>
      <c r="K567" t="s">
        <v>56</v>
      </c>
      <c r="L567">
        <v>0</v>
      </c>
      <c r="M567" t="s">
        <v>73</v>
      </c>
      <c r="N567">
        <v>0</v>
      </c>
      <c r="O567" t="s">
        <v>58</v>
      </c>
      <c r="P567" t="s">
        <v>59</v>
      </c>
      <c r="Q567" t="s">
        <v>252</v>
      </c>
      <c r="R567" t="s">
        <v>1077</v>
      </c>
      <c r="S567" s="1">
        <v>44448</v>
      </c>
      <c r="T567" s="1">
        <v>44448</v>
      </c>
      <c r="U567">
        <v>37501</v>
      </c>
      <c r="V567" t="s">
        <v>61</v>
      </c>
      <c r="W567" t="s">
        <v>1078</v>
      </c>
      <c r="X567" s="1">
        <v>44449</v>
      </c>
      <c r="Y567" t="s">
        <v>63</v>
      </c>
      <c r="Z567">
        <v>70.34</v>
      </c>
      <c r="AA567">
        <v>16</v>
      </c>
      <c r="AB567">
        <v>5.66</v>
      </c>
      <c r="AC567">
        <v>0</v>
      </c>
      <c r="AD567">
        <v>76</v>
      </c>
      <c r="AE567">
        <v>522</v>
      </c>
      <c r="AF567">
        <v>545</v>
      </c>
      <c r="AG567" t="s">
        <v>1060</v>
      </c>
      <c r="AH567" t="s">
        <v>65</v>
      </c>
      <c r="AI567" t="s">
        <v>65</v>
      </c>
      <c r="AJ567" t="s">
        <v>66</v>
      </c>
      <c r="AK567" t="s">
        <v>66</v>
      </c>
      <c r="AL567" t="s">
        <v>66</v>
      </c>
      <c r="AM567" s="2" t="str">
        <f>HYPERLINK("https://transparencia.cidesi.mx/comprobantes/2021/CQ2100772 /C2344330625_CCO8605231N4.pdf")</f>
        <v>https://transparencia.cidesi.mx/comprobantes/2021/CQ2100772 /C2344330625_CCO8605231N4.pdf</v>
      </c>
      <c r="AN567" t="str">
        <f>HYPERLINK("https://transparencia.cidesi.mx/comprobantes/2021/CQ2100772 /C2344330625_CCO8605231N4.pdf")</f>
        <v>https://transparencia.cidesi.mx/comprobantes/2021/CQ2100772 /C2344330625_CCO8605231N4.pdf</v>
      </c>
      <c r="AO567" t="str">
        <f>HYPERLINK("https://transparencia.cidesi.mx/comprobantes/2021/CQ2100772 /C2344330625_CCO8605231N4.xml")</f>
        <v>https://transparencia.cidesi.mx/comprobantes/2021/CQ2100772 /C2344330625_CCO8605231N4.xml</v>
      </c>
      <c r="AP567" t="s">
        <v>1079</v>
      </c>
      <c r="AQ567" t="s">
        <v>1080</v>
      </c>
      <c r="AR567" t="s">
        <v>1074</v>
      </c>
      <c r="AS567" t="s">
        <v>1075</v>
      </c>
      <c r="AT567" s="1">
        <v>44454</v>
      </c>
      <c r="AU567" s="1">
        <v>44470</v>
      </c>
    </row>
    <row r="568" spans="1:47" x14ac:dyDescent="0.3">
      <c r="A568" t="s">
        <v>47</v>
      </c>
      <c r="B568" t="s">
        <v>224</v>
      </c>
      <c r="C568" t="s">
        <v>225</v>
      </c>
      <c r="D568">
        <v>657</v>
      </c>
      <c r="E568" t="s">
        <v>1054</v>
      </c>
      <c r="F568" t="s">
        <v>1055</v>
      </c>
      <c r="G568" t="s">
        <v>1056</v>
      </c>
      <c r="H568" t="s">
        <v>1081</v>
      </c>
      <c r="I568" t="s">
        <v>54</v>
      </c>
      <c r="J568" t="s">
        <v>1082</v>
      </c>
      <c r="K568" t="s">
        <v>56</v>
      </c>
      <c r="L568">
        <v>0</v>
      </c>
      <c r="M568" t="s">
        <v>73</v>
      </c>
      <c r="N568">
        <v>0</v>
      </c>
      <c r="O568" t="s">
        <v>58</v>
      </c>
      <c r="P568" t="s">
        <v>59</v>
      </c>
      <c r="Q568" t="s">
        <v>216</v>
      </c>
      <c r="R568" t="s">
        <v>1082</v>
      </c>
      <c r="S568" s="1">
        <v>44458</v>
      </c>
      <c r="T568" s="1">
        <v>44458</v>
      </c>
      <c r="U568">
        <v>37501</v>
      </c>
      <c r="V568" t="s">
        <v>61</v>
      </c>
      <c r="W568" t="s">
        <v>1083</v>
      </c>
      <c r="X568" s="1">
        <v>44460</v>
      </c>
      <c r="Y568" t="s">
        <v>63</v>
      </c>
      <c r="Z568">
        <v>62.34</v>
      </c>
      <c r="AA568">
        <v>16</v>
      </c>
      <c r="AB568">
        <v>5.66</v>
      </c>
      <c r="AC568">
        <v>0</v>
      </c>
      <c r="AD568">
        <v>68</v>
      </c>
      <c r="AE568">
        <v>513</v>
      </c>
      <c r="AF568">
        <v>545</v>
      </c>
      <c r="AG568" t="s">
        <v>1060</v>
      </c>
      <c r="AH568" t="s">
        <v>65</v>
      </c>
      <c r="AI568" t="s">
        <v>65</v>
      </c>
      <c r="AJ568" t="s">
        <v>66</v>
      </c>
      <c r="AK568" t="s">
        <v>66</v>
      </c>
      <c r="AL568" t="s">
        <v>66</v>
      </c>
      <c r="AM568" s="2" t="str">
        <f>HYPERLINK("https://transparencia.cidesi.mx/comprobantes/2021/CQ2100846 /C1345286575_CCO8605231N4.pdf")</f>
        <v>https://transparencia.cidesi.mx/comprobantes/2021/CQ2100846 /C1345286575_CCO8605231N4.pdf</v>
      </c>
      <c r="AN568" t="str">
        <f>HYPERLINK("https://transparencia.cidesi.mx/comprobantes/2021/CQ2100846 /C1345286575_CCO8605231N4.pdf")</f>
        <v>https://transparencia.cidesi.mx/comprobantes/2021/CQ2100846 /C1345286575_CCO8605231N4.pdf</v>
      </c>
      <c r="AO568" t="str">
        <f>HYPERLINK("https://transparencia.cidesi.mx/comprobantes/2021/CQ2100846 /C1345286575_CCO8605231N4.xml")</f>
        <v>https://transparencia.cidesi.mx/comprobantes/2021/CQ2100846 /C1345286575_CCO8605231N4.xml</v>
      </c>
      <c r="AP568" t="s">
        <v>1084</v>
      </c>
      <c r="AQ568" t="s">
        <v>1085</v>
      </c>
      <c r="AR568" t="s">
        <v>1074</v>
      </c>
      <c r="AS568" t="s">
        <v>1075</v>
      </c>
      <c r="AT568" s="1">
        <v>44460</v>
      </c>
      <c r="AU568" s="1">
        <v>44470</v>
      </c>
    </row>
    <row r="569" spans="1:47" x14ac:dyDescent="0.3">
      <c r="A569" t="s">
        <v>47</v>
      </c>
      <c r="B569" t="s">
        <v>224</v>
      </c>
      <c r="C569" t="s">
        <v>225</v>
      </c>
      <c r="D569">
        <v>657</v>
      </c>
      <c r="E569" t="s">
        <v>1054</v>
      </c>
      <c r="F569" t="s">
        <v>1055</v>
      </c>
      <c r="G569" t="s">
        <v>1056</v>
      </c>
      <c r="H569" t="s">
        <v>1081</v>
      </c>
      <c r="I569" t="s">
        <v>54</v>
      </c>
      <c r="J569" t="s">
        <v>1082</v>
      </c>
      <c r="K569" t="s">
        <v>56</v>
      </c>
      <c r="L569">
        <v>0</v>
      </c>
      <c r="M569" t="s">
        <v>73</v>
      </c>
      <c r="N569">
        <v>0</v>
      </c>
      <c r="O569" t="s">
        <v>58</v>
      </c>
      <c r="P569" t="s">
        <v>59</v>
      </c>
      <c r="Q569" t="s">
        <v>216</v>
      </c>
      <c r="R569" t="s">
        <v>1082</v>
      </c>
      <c r="S569" s="1">
        <v>44458</v>
      </c>
      <c r="T569" s="1">
        <v>44458</v>
      </c>
      <c r="U569">
        <v>37501</v>
      </c>
      <c r="V569" t="s">
        <v>61</v>
      </c>
      <c r="W569" t="s">
        <v>1083</v>
      </c>
      <c r="X569" s="1">
        <v>44460</v>
      </c>
      <c r="Y569" t="s">
        <v>63</v>
      </c>
      <c r="Z569">
        <v>383.62</v>
      </c>
      <c r="AA569">
        <v>16</v>
      </c>
      <c r="AB569">
        <v>61.38</v>
      </c>
      <c r="AC569">
        <v>0</v>
      </c>
      <c r="AD569">
        <v>445</v>
      </c>
      <c r="AE569">
        <v>513</v>
      </c>
      <c r="AF569">
        <v>545</v>
      </c>
      <c r="AG569" t="s">
        <v>1060</v>
      </c>
      <c r="AH569" t="s">
        <v>65</v>
      </c>
      <c r="AI569" t="s">
        <v>65</v>
      </c>
      <c r="AJ569" t="s">
        <v>66</v>
      </c>
      <c r="AK569" t="s">
        <v>66</v>
      </c>
      <c r="AL569" t="s">
        <v>66</v>
      </c>
      <c r="AM569" s="2" t="str">
        <f>HYPERLINK("https://transparencia.cidesi.mx/comprobantes/2021/CQ2100846 /C2F0000019617_SGI140703AN8.pdf")</f>
        <v>https://transparencia.cidesi.mx/comprobantes/2021/CQ2100846 /C2F0000019617_SGI140703AN8.pdf</v>
      </c>
      <c r="AN569" t="str">
        <f>HYPERLINK("https://transparencia.cidesi.mx/comprobantes/2021/CQ2100846 /C2F0000019617_SGI140703AN8.pdf")</f>
        <v>https://transparencia.cidesi.mx/comprobantes/2021/CQ2100846 /C2F0000019617_SGI140703AN8.pdf</v>
      </c>
      <c r="AO569" t="str">
        <f>HYPERLINK("https://transparencia.cidesi.mx/comprobantes/2021/CQ2100846 /C2F0000019617_SGI140703AN8.xml")</f>
        <v>https://transparencia.cidesi.mx/comprobantes/2021/CQ2100846 /C2F0000019617_SGI140703AN8.xml</v>
      </c>
      <c r="AP569" t="s">
        <v>1084</v>
      </c>
      <c r="AQ569" t="s">
        <v>1085</v>
      </c>
      <c r="AR569" t="s">
        <v>1074</v>
      </c>
      <c r="AS569" t="s">
        <v>1075</v>
      </c>
      <c r="AT569" s="1">
        <v>44460</v>
      </c>
      <c r="AU569" s="1">
        <v>44470</v>
      </c>
    </row>
    <row r="570" spans="1:47" x14ac:dyDescent="0.3">
      <c r="A570" t="s">
        <v>1086</v>
      </c>
      <c r="B570" t="s">
        <v>48</v>
      </c>
      <c r="C570" t="s">
        <v>338</v>
      </c>
      <c r="D570">
        <v>658</v>
      </c>
      <c r="E570" t="s">
        <v>1087</v>
      </c>
      <c r="F570" t="s">
        <v>1088</v>
      </c>
      <c r="G570" t="s">
        <v>1089</v>
      </c>
      <c r="H570" t="s">
        <v>1090</v>
      </c>
      <c r="I570" t="s">
        <v>54</v>
      </c>
      <c r="J570" t="s">
        <v>1091</v>
      </c>
      <c r="K570" t="s">
        <v>56</v>
      </c>
      <c r="L570">
        <v>0</v>
      </c>
      <c r="M570" t="s">
        <v>73</v>
      </c>
      <c r="N570">
        <v>0</v>
      </c>
      <c r="O570" t="s">
        <v>58</v>
      </c>
      <c r="P570" t="s">
        <v>59</v>
      </c>
      <c r="Q570" t="s">
        <v>216</v>
      </c>
      <c r="R570" t="s">
        <v>1091</v>
      </c>
      <c r="S570" s="1">
        <v>44384</v>
      </c>
      <c r="T570" s="1">
        <v>44385</v>
      </c>
      <c r="U570">
        <v>37501</v>
      </c>
      <c r="V570" t="s">
        <v>61</v>
      </c>
      <c r="W570" t="s">
        <v>1092</v>
      </c>
      <c r="X570" s="1">
        <v>44391</v>
      </c>
      <c r="Y570" t="s">
        <v>100</v>
      </c>
      <c r="Z570">
        <v>453.45</v>
      </c>
      <c r="AA570">
        <v>0.16</v>
      </c>
      <c r="AB570">
        <v>72.55</v>
      </c>
      <c r="AC570">
        <v>0</v>
      </c>
      <c r="AD570">
        <v>526</v>
      </c>
      <c r="AE570">
        <v>1035</v>
      </c>
      <c r="AF570">
        <v>1636</v>
      </c>
      <c r="AG570" t="s">
        <v>1093</v>
      </c>
      <c r="AH570" t="s">
        <v>65</v>
      </c>
      <c r="AI570" t="s">
        <v>65</v>
      </c>
      <c r="AJ570" t="s">
        <v>66</v>
      </c>
      <c r="AK570" t="s">
        <v>66</v>
      </c>
      <c r="AL570" t="s">
        <v>66</v>
      </c>
      <c r="AM570" s="2" t="str">
        <f>HYPERLINK("https://transparencia.cidesi.mx/comprobantes/2021/CQ2100509 /C1CASL800325GM6_A5844_787B7127-CDDF-4AFA-A41B-69567AE01F59.pdf")</f>
        <v>https://transparencia.cidesi.mx/comprobantes/2021/CQ2100509 /C1CASL800325GM6_A5844_787B7127-CDDF-4AFA-A41B-69567AE01F59.pdf</v>
      </c>
      <c r="AN570" t="str">
        <f>HYPERLINK("https://transparencia.cidesi.mx/comprobantes/2021/CQ2100509 /C1CASL800325GM6_A5844_787B7127-CDDF-4AFA-A41B-69567AE01F59.pdf")</f>
        <v>https://transparencia.cidesi.mx/comprobantes/2021/CQ2100509 /C1CASL800325GM6_A5844_787B7127-CDDF-4AFA-A41B-69567AE01F59.pdf</v>
      </c>
      <c r="AO570" t="str">
        <f>HYPERLINK("https://transparencia.cidesi.mx/comprobantes/2021/CQ2100509 /C1CASL800325GM6_A5844_787B7127-CDDF-4AFA-A41B-69567AE01F59.xml")</f>
        <v>https://transparencia.cidesi.mx/comprobantes/2021/CQ2100509 /C1CASL800325GM6_A5844_787B7127-CDDF-4AFA-A41B-69567AE01F59.xml</v>
      </c>
      <c r="AP570" t="s">
        <v>1094</v>
      </c>
      <c r="AQ570" t="s">
        <v>1095</v>
      </c>
      <c r="AR570" t="s">
        <v>1096</v>
      </c>
      <c r="AS570" t="s">
        <v>1097</v>
      </c>
      <c r="AT570" s="1">
        <v>44392</v>
      </c>
      <c r="AU570" t="s">
        <v>73</v>
      </c>
    </row>
    <row r="571" spans="1:47" x14ac:dyDescent="0.3">
      <c r="A571" t="s">
        <v>1086</v>
      </c>
      <c r="B571" t="s">
        <v>48</v>
      </c>
      <c r="C571" t="s">
        <v>338</v>
      </c>
      <c r="D571">
        <v>658</v>
      </c>
      <c r="E571" t="s">
        <v>1087</v>
      </c>
      <c r="F571" t="s">
        <v>1088</v>
      </c>
      <c r="G571" t="s">
        <v>1089</v>
      </c>
      <c r="H571" t="s">
        <v>1090</v>
      </c>
      <c r="I571" t="s">
        <v>54</v>
      </c>
      <c r="J571" t="s">
        <v>1091</v>
      </c>
      <c r="K571" t="s">
        <v>56</v>
      </c>
      <c r="L571">
        <v>0</v>
      </c>
      <c r="M571" t="s">
        <v>73</v>
      </c>
      <c r="N571">
        <v>0</v>
      </c>
      <c r="O571" t="s">
        <v>58</v>
      </c>
      <c r="P571" t="s">
        <v>59</v>
      </c>
      <c r="Q571" t="s">
        <v>216</v>
      </c>
      <c r="R571" t="s">
        <v>1091</v>
      </c>
      <c r="S571" s="1">
        <v>44384</v>
      </c>
      <c r="T571" s="1">
        <v>44385</v>
      </c>
      <c r="U571">
        <v>37501</v>
      </c>
      <c r="V571" t="s">
        <v>61</v>
      </c>
      <c r="W571" t="s">
        <v>1092</v>
      </c>
      <c r="X571" s="1">
        <v>44391</v>
      </c>
      <c r="Y571" t="s">
        <v>100</v>
      </c>
      <c r="Z571">
        <v>438.79</v>
      </c>
      <c r="AA571">
        <v>0.16</v>
      </c>
      <c r="AB571">
        <v>70.209999999999994</v>
      </c>
      <c r="AC571">
        <v>0</v>
      </c>
      <c r="AD571">
        <v>509</v>
      </c>
      <c r="AE571">
        <v>1035</v>
      </c>
      <c r="AF571">
        <v>1636</v>
      </c>
      <c r="AG571" t="s">
        <v>1093</v>
      </c>
      <c r="AH571" t="s">
        <v>65</v>
      </c>
      <c r="AI571" t="s">
        <v>65</v>
      </c>
      <c r="AJ571" t="s">
        <v>66</v>
      </c>
      <c r="AK571" t="s">
        <v>66</v>
      </c>
      <c r="AL571" t="s">
        <v>66</v>
      </c>
      <c r="AM571" s="2" t="str">
        <f>HYPERLINK("https://transparencia.cidesi.mx/comprobantes/2021/CQ2100509 /C2T2021eceb-8045-4522-bd0c-00c79ff871bd.pdf")</f>
        <v>https://transparencia.cidesi.mx/comprobantes/2021/CQ2100509 /C2T2021eceb-8045-4522-bd0c-00c79ff871bd.pdf</v>
      </c>
      <c r="AN571" t="str">
        <f>HYPERLINK("https://transparencia.cidesi.mx/comprobantes/2021/CQ2100509 /C2T2021eceb-8045-4522-bd0c-00c79ff871bd.pdf")</f>
        <v>https://transparencia.cidesi.mx/comprobantes/2021/CQ2100509 /C2T2021eceb-8045-4522-bd0c-00c79ff871bd.pdf</v>
      </c>
      <c r="AO571" t="str">
        <f>HYPERLINK("https://transparencia.cidesi.mx/comprobantes/2021/CQ2100509 /C2T2021eceb-8045-4522-bd0c-00c79ff871bd.xml")</f>
        <v>https://transparencia.cidesi.mx/comprobantes/2021/CQ2100509 /C2T2021eceb-8045-4522-bd0c-00c79ff871bd.xml</v>
      </c>
      <c r="AP571" t="s">
        <v>1094</v>
      </c>
      <c r="AQ571" t="s">
        <v>1095</v>
      </c>
      <c r="AR571" t="s">
        <v>1096</v>
      </c>
      <c r="AS571" t="s">
        <v>1097</v>
      </c>
      <c r="AT571" s="1">
        <v>44392</v>
      </c>
      <c r="AU571" t="s">
        <v>73</v>
      </c>
    </row>
    <row r="572" spans="1:47" x14ac:dyDescent="0.3">
      <c r="A572" t="s">
        <v>1086</v>
      </c>
      <c r="B572" t="s">
        <v>48</v>
      </c>
      <c r="C572" t="s">
        <v>338</v>
      </c>
      <c r="D572">
        <v>658</v>
      </c>
      <c r="E572" t="s">
        <v>1087</v>
      </c>
      <c r="F572" t="s">
        <v>1088</v>
      </c>
      <c r="G572" t="s">
        <v>1089</v>
      </c>
      <c r="H572" t="s">
        <v>1098</v>
      </c>
      <c r="I572" t="s">
        <v>54</v>
      </c>
      <c r="J572" t="s">
        <v>1099</v>
      </c>
      <c r="K572" t="s">
        <v>56</v>
      </c>
      <c r="L572">
        <v>0</v>
      </c>
      <c r="M572" t="s">
        <v>73</v>
      </c>
      <c r="N572">
        <v>0</v>
      </c>
      <c r="O572" t="s">
        <v>58</v>
      </c>
      <c r="P572" t="s">
        <v>59</v>
      </c>
      <c r="Q572" t="s">
        <v>216</v>
      </c>
      <c r="R572" t="s">
        <v>1099</v>
      </c>
      <c r="S572" s="1">
        <v>44406</v>
      </c>
      <c r="T572" s="1">
        <v>44407</v>
      </c>
      <c r="U572">
        <v>37501</v>
      </c>
      <c r="V572" t="s">
        <v>61</v>
      </c>
      <c r="W572" t="s">
        <v>1100</v>
      </c>
      <c r="X572" s="1">
        <v>44410</v>
      </c>
      <c r="Y572" t="s">
        <v>100</v>
      </c>
      <c r="Z572">
        <v>469.83</v>
      </c>
      <c r="AA572">
        <v>0.16</v>
      </c>
      <c r="AB572">
        <v>75.17</v>
      </c>
      <c r="AC572">
        <v>0</v>
      </c>
      <c r="AD572">
        <v>545</v>
      </c>
      <c r="AE572">
        <v>1014</v>
      </c>
      <c r="AF572">
        <v>1636</v>
      </c>
      <c r="AG572" t="s">
        <v>1093</v>
      </c>
      <c r="AH572" t="s">
        <v>65</v>
      </c>
      <c r="AI572" t="s">
        <v>65</v>
      </c>
      <c r="AJ572" t="s">
        <v>66</v>
      </c>
      <c r="AK572" t="s">
        <v>66</v>
      </c>
      <c r="AL572" t="s">
        <v>66</v>
      </c>
      <c r="AM572" s="2" t="str">
        <f>HYPERLINK("https://transparencia.cidesi.mx/comprobantes/2021/CQ2100586 /C1FACTURALE19573.pdf")</f>
        <v>https://transparencia.cidesi.mx/comprobantes/2021/CQ2100586 /C1FACTURALE19573.pdf</v>
      </c>
      <c r="AN572" t="str">
        <f>HYPERLINK("https://transparencia.cidesi.mx/comprobantes/2021/CQ2100586 /C1FACTURALE19573.pdf")</f>
        <v>https://transparencia.cidesi.mx/comprobantes/2021/CQ2100586 /C1FACTURALE19573.pdf</v>
      </c>
      <c r="AO572" t="str">
        <f>HYPERLINK("https://transparencia.cidesi.mx/comprobantes/2021/CQ2100586 /C1FACTURALE19573.xml")</f>
        <v>https://transparencia.cidesi.mx/comprobantes/2021/CQ2100586 /C1FACTURALE19573.xml</v>
      </c>
      <c r="AP572" t="s">
        <v>1101</v>
      </c>
      <c r="AQ572" t="s">
        <v>1102</v>
      </c>
      <c r="AR572" t="s">
        <v>1103</v>
      </c>
      <c r="AS572" t="s">
        <v>1104</v>
      </c>
      <c r="AT572" s="1">
        <v>44412</v>
      </c>
      <c r="AU572" t="s">
        <v>73</v>
      </c>
    </row>
    <row r="573" spans="1:47" x14ac:dyDescent="0.3">
      <c r="A573" t="s">
        <v>1086</v>
      </c>
      <c r="B573" t="s">
        <v>48</v>
      </c>
      <c r="C573" t="s">
        <v>338</v>
      </c>
      <c r="D573">
        <v>658</v>
      </c>
      <c r="E573" t="s">
        <v>1087</v>
      </c>
      <c r="F573" t="s">
        <v>1088</v>
      </c>
      <c r="G573" t="s">
        <v>1089</v>
      </c>
      <c r="H573" t="s">
        <v>1098</v>
      </c>
      <c r="I573" t="s">
        <v>54</v>
      </c>
      <c r="J573" t="s">
        <v>1099</v>
      </c>
      <c r="K573" t="s">
        <v>56</v>
      </c>
      <c r="L573">
        <v>0</v>
      </c>
      <c r="M573" t="s">
        <v>73</v>
      </c>
      <c r="N573">
        <v>0</v>
      </c>
      <c r="O573" t="s">
        <v>58</v>
      </c>
      <c r="P573" t="s">
        <v>59</v>
      </c>
      <c r="Q573" t="s">
        <v>216</v>
      </c>
      <c r="R573" t="s">
        <v>1099</v>
      </c>
      <c r="S573" s="1">
        <v>44406</v>
      </c>
      <c r="T573" s="1">
        <v>44407</v>
      </c>
      <c r="U573">
        <v>37501</v>
      </c>
      <c r="V573" t="s">
        <v>61</v>
      </c>
      <c r="W573" t="s">
        <v>1100</v>
      </c>
      <c r="X573" s="1">
        <v>44410</v>
      </c>
      <c r="Y573" t="s">
        <v>100</v>
      </c>
      <c r="Z573">
        <v>404.31</v>
      </c>
      <c r="AA573">
        <v>0.16</v>
      </c>
      <c r="AB573">
        <v>64.69</v>
      </c>
      <c r="AC573">
        <v>0</v>
      </c>
      <c r="AD573">
        <v>469</v>
      </c>
      <c r="AE573">
        <v>1014</v>
      </c>
      <c r="AF573">
        <v>1636</v>
      </c>
      <c r="AG573" t="s">
        <v>1093</v>
      </c>
      <c r="AH573" t="s">
        <v>65</v>
      </c>
      <c r="AI573" t="s">
        <v>65</v>
      </c>
      <c r="AJ573" t="s">
        <v>66</v>
      </c>
      <c r="AK573" t="s">
        <v>66</v>
      </c>
      <c r="AL573" t="s">
        <v>66</v>
      </c>
      <c r="AM573" s="2" t="str">
        <f>HYPERLINK("https://transparencia.cidesi.mx/comprobantes/2021/CQ2100586 /C2T05d75c96-92e1-4b63-b219-0ce04e6c38c2.pdf")</f>
        <v>https://transparencia.cidesi.mx/comprobantes/2021/CQ2100586 /C2T05d75c96-92e1-4b63-b219-0ce04e6c38c2.pdf</v>
      </c>
      <c r="AN573" t="str">
        <f>HYPERLINK("https://transparencia.cidesi.mx/comprobantes/2021/CQ2100586 /C2T05d75c96-92e1-4b63-b219-0ce04e6c38c2.pdf")</f>
        <v>https://transparencia.cidesi.mx/comprobantes/2021/CQ2100586 /C2T05d75c96-92e1-4b63-b219-0ce04e6c38c2.pdf</v>
      </c>
      <c r="AO573" t="str">
        <f>HYPERLINK("https://transparencia.cidesi.mx/comprobantes/2021/CQ2100586 /C2T05d75c96-92e1-4b63-b219-0ce04e6c38c2.xml")</f>
        <v>https://transparencia.cidesi.mx/comprobantes/2021/CQ2100586 /C2T05d75c96-92e1-4b63-b219-0ce04e6c38c2.xml</v>
      </c>
      <c r="AP573" t="s">
        <v>1101</v>
      </c>
      <c r="AQ573" t="s">
        <v>1102</v>
      </c>
      <c r="AR573" t="s">
        <v>1103</v>
      </c>
      <c r="AS573" t="s">
        <v>1104</v>
      </c>
      <c r="AT573" s="1">
        <v>44412</v>
      </c>
      <c r="AU573" t="s">
        <v>73</v>
      </c>
    </row>
    <row r="574" spans="1:47" x14ac:dyDescent="0.3">
      <c r="A574" t="s">
        <v>1086</v>
      </c>
      <c r="B574" t="s">
        <v>48</v>
      </c>
      <c r="C574" t="s">
        <v>338</v>
      </c>
      <c r="D574">
        <v>658</v>
      </c>
      <c r="E574" t="s">
        <v>1087</v>
      </c>
      <c r="F574" t="s">
        <v>1088</v>
      </c>
      <c r="G574" t="s">
        <v>1089</v>
      </c>
      <c r="H574" t="s">
        <v>1105</v>
      </c>
      <c r="I574" t="s">
        <v>54</v>
      </c>
      <c r="J574" t="s">
        <v>1106</v>
      </c>
      <c r="K574" t="s">
        <v>56</v>
      </c>
      <c r="L574">
        <v>0</v>
      </c>
      <c r="M574" t="s">
        <v>73</v>
      </c>
      <c r="N574">
        <v>0</v>
      </c>
      <c r="O574" t="s">
        <v>58</v>
      </c>
      <c r="P574" t="s">
        <v>59</v>
      </c>
      <c r="Q574" t="s">
        <v>216</v>
      </c>
      <c r="R574" t="s">
        <v>1106</v>
      </c>
      <c r="S574" s="1">
        <v>44434</v>
      </c>
      <c r="T574" s="1">
        <v>44434</v>
      </c>
      <c r="U574">
        <v>37501</v>
      </c>
      <c r="V574" t="s">
        <v>61</v>
      </c>
      <c r="W574" t="s">
        <v>1107</v>
      </c>
      <c r="X574" s="1">
        <v>44438</v>
      </c>
      <c r="Y574" t="s">
        <v>63</v>
      </c>
      <c r="Z574">
        <v>669.82</v>
      </c>
      <c r="AA574">
        <v>0.16</v>
      </c>
      <c r="AB574">
        <v>0.16</v>
      </c>
      <c r="AC574">
        <v>107.17</v>
      </c>
      <c r="AD574">
        <v>777.15</v>
      </c>
      <c r="AE574">
        <v>777.15</v>
      </c>
      <c r="AF574">
        <v>783</v>
      </c>
      <c r="AG574" t="s">
        <v>1093</v>
      </c>
      <c r="AH574" t="s">
        <v>65</v>
      </c>
      <c r="AI574" t="s">
        <v>65</v>
      </c>
      <c r="AJ574" t="s">
        <v>66</v>
      </c>
      <c r="AK574" t="s">
        <v>66</v>
      </c>
      <c r="AL574" t="s">
        <v>66</v>
      </c>
      <c r="AM574" s="2" t="str">
        <f>HYPERLINK("https://transparencia.cidesi.mx/comprobantes/2021/CQ2100706 /C1GRE111107FZ2_P28067.pdf")</f>
        <v>https://transparencia.cidesi.mx/comprobantes/2021/CQ2100706 /C1GRE111107FZ2_P28067.pdf</v>
      </c>
      <c r="AN574" t="str">
        <f>HYPERLINK("https://transparencia.cidesi.mx/comprobantes/2021/CQ2100706 /C1GRE111107FZ2_P28067.pdf")</f>
        <v>https://transparencia.cidesi.mx/comprobantes/2021/CQ2100706 /C1GRE111107FZ2_P28067.pdf</v>
      </c>
      <c r="AO574" t="str">
        <f>HYPERLINK("https://transparencia.cidesi.mx/comprobantes/2021/CQ2100706 /C1GRE111107FZ2_P28067.xml")</f>
        <v>https://transparencia.cidesi.mx/comprobantes/2021/CQ2100706 /C1GRE111107FZ2_P28067.xml</v>
      </c>
      <c r="AP574" t="s">
        <v>1108</v>
      </c>
      <c r="AQ574" t="s">
        <v>1109</v>
      </c>
      <c r="AR574" t="s">
        <v>1110</v>
      </c>
      <c r="AS574" t="s">
        <v>1108</v>
      </c>
      <c r="AT574" s="1">
        <v>44440</v>
      </c>
      <c r="AU574" s="1">
        <v>44440</v>
      </c>
    </row>
    <row r="575" spans="1:47" x14ac:dyDescent="0.3">
      <c r="A575" t="s">
        <v>1086</v>
      </c>
      <c r="B575" t="s">
        <v>48</v>
      </c>
      <c r="C575" t="s">
        <v>338</v>
      </c>
      <c r="D575">
        <v>658</v>
      </c>
      <c r="E575" t="s">
        <v>1087</v>
      </c>
      <c r="F575" t="s">
        <v>1088</v>
      </c>
      <c r="G575" t="s">
        <v>1089</v>
      </c>
      <c r="H575" t="s">
        <v>1111</v>
      </c>
      <c r="I575" t="s">
        <v>54</v>
      </c>
      <c r="J575" t="s">
        <v>1112</v>
      </c>
      <c r="K575" t="s">
        <v>56</v>
      </c>
      <c r="L575">
        <v>0</v>
      </c>
      <c r="M575" t="s">
        <v>73</v>
      </c>
      <c r="N575">
        <v>0</v>
      </c>
      <c r="O575" t="s">
        <v>58</v>
      </c>
      <c r="P575" t="s">
        <v>59</v>
      </c>
      <c r="Q575" t="s">
        <v>216</v>
      </c>
      <c r="R575" t="s">
        <v>1112</v>
      </c>
      <c r="S575" s="1">
        <v>44466</v>
      </c>
      <c r="T575" s="1">
        <v>44467</v>
      </c>
      <c r="U575">
        <v>37501</v>
      </c>
      <c r="V575" t="s">
        <v>61</v>
      </c>
      <c r="W575" t="s">
        <v>1113</v>
      </c>
      <c r="X575" s="1">
        <v>44468</v>
      </c>
      <c r="Y575" t="s">
        <v>207</v>
      </c>
      <c r="Z575">
        <v>429.31</v>
      </c>
      <c r="AA575">
        <v>0.16</v>
      </c>
      <c r="AB575">
        <v>68.69</v>
      </c>
      <c r="AC575">
        <v>0</v>
      </c>
      <c r="AD575">
        <v>498</v>
      </c>
      <c r="AE575">
        <v>934</v>
      </c>
      <c r="AF575">
        <v>2350</v>
      </c>
      <c r="AG575" t="s">
        <v>1093</v>
      </c>
      <c r="AH575" t="s">
        <v>65</v>
      </c>
      <c r="AI575" t="s">
        <v>65</v>
      </c>
      <c r="AJ575" t="s">
        <v>66</v>
      </c>
      <c r="AK575" t="s">
        <v>66</v>
      </c>
      <c r="AL575" t="s">
        <v>66</v>
      </c>
      <c r="AM575" s="2" t="str">
        <f>HYPERLINK("https://transparencia.cidesi.mx/comprobantes/2021/CQ2100915 /C1cfe8e07b-fb0d-4a4c-a1e4-2db11cc2253f.pdf")</f>
        <v>https://transparencia.cidesi.mx/comprobantes/2021/CQ2100915 /C1cfe8e07b-fb0d-4a4c-a1e4-2db11cc2253f.pdf</v>
      </c>
      <c r="AN575" t="str">
        <f>HYPERLINK("https://transparencia.cidesi.mx/comprobantes/2021/CQ2100915 /C1cfe8e07b-fb0d-4a4c-a1e4-2db11cc2253f.pdf")</f>
        <v>https://transparencia.cidesi.mx/comprobantes/2021/CQ2100915 /C1cfe8e07b-fb0d-4a4c-a1e4-2db11cc2253f.pdf</v>
      </c>
      <c r="AO575" t="str">
        <f>HYPERLINK("https://transparencia.cidesi.mx/comprobantes/2021/CQ2100915 /C1cfe8e07b-fb0d-4a4c-a1e4-2db11cc2253f.xml")</f>
        <v>https://transparencia.cidesi.mx/comprobantes/2021/CQ2100915 /C1cfe8e07b-fb0d-4a4c-a1e4-2db11cc2253f.xml</v>
      </c>
      <c r="AP575" t="s">
        <v>1114</v>
      </c>
      <c r="AQ575" t="s">
        <v>1115</v>
      </c>
      <c r="AR575" t="s">
        <v>1116</v>
      </c>
      <c r="AS575" t="s">
        <v>1117</v>
      </c>
      <c r="AT575" s="1">
        <v>44469</v>
      </c>
      <c r="AU575" t="s">
        <v>73</v>
      </c>
    </row>
    <row r="576" spans="1:47" x14ac:dyDescent="0.3">
      <c r="A576" t="s">
        <v>1086</v>
      </c>
      <c r="B576" t="s">
        <v>48</v>
      </c>
      <c r="C576" t="s">
        <v>338</v>
      </c>
      <c r="D576">
        <v>658</v>
      </c>
      <c r="E576" t="s">
        <v>1087</v>
      </c>
      <c r="F576" t="s">
        <v>1088</v>
      </c>
      <c r="G576" t="s">
        <v>1089</v>
      </c>
      <c r="H576" t="s">
        <v>1111</v>
      </c>
      <c r="I576" t="s">
        <v>54</v>
      </c>
      <c r="J576" t="s">
        <v>1112</v>
      </c>
      <c r="K576" t="s">
        <v>56</v>
      </c>
      <c r="L576">
        <v>0</v>
      </c>
      <c r="M576" t="s">
        <v>73</v>
      </c>
      <c r="N576">
        <v>0</v>
      </c>
      <c r="O576" t="s">
        <v>58</v>
      </c>
      <c r="P576" t="s">
        <v>59</v>
      </c>
      <c r="Q576" t="s">
        <v>216</v>
      </c>
      <c r="R576" t="s">
        <v>1112</v>
      </c>
      <c r="S576" s="1">
        <v>44466</v>
      </c>
      <c r="T576" s="1">
        <v>44467</v>
      </c>
      <c r="U576">
        <v>37501</v>
      </c>
      <c r="V576" t="s">
        <v>61</v>
      </c>
      <c r="W576" t="s">
        <v>1113</v>
      </c>
      <c r="X576" s="1">
        <v>44468</v>
      </c>
      <c r="Y576" t="s">
        <v>207</v>
      </c>
      <c r="Z576">
        <v>375.86</v>
      </c>
      <c r="AA576">
        <v>0.16</v>
      </c>
      <c r="AB576">
        <v>60.14</v>
      </c>
      <c r="AC576">
        <v>0</v>
      </c>
      <c r="AD576">
        <v>436</v>
      </c>
      <c r="AE576">
        <v>934</v>
      </c>
      <c r="AF576">
        <v>2350</v>
      </c>
      <c r="AG576" t="s">
        <v>1093</v>
      </c>
      <c r="AH576" t="s">
        <v>65</v>
      </c>
      <c r="AI576" t="s">
        <v>65</v>
      </c>
      <c r="AJ576" t="s">
        <v>66</v>
      </c>
      <c r="AK576" t="s">
        <v>66</v>
      </c>
      <c r="AL576" t="s">
        <v>66</v>
      </c>
      <c r="AM576" s="2" t="str">
        <f>HYPERLINK("https://transparencia.cidesi.mx/comprobantes/2021/CQ2100915 /C2PRB100802H20_V_8830035_CID840309UG7.pdf")</f>
        <v>https://transparencia.cidesi.mx/comprobantes/2021/CQ2100915 /C2PRB100802H20_V_8830035_CID840309UG7.pdf</v>
      </c>
      <c r="AN576" t="str">
        <f>HYPERLINK("https://transparencia.cidesi.mx/comprobantes/2021/CQ2100915 /C2PRB100802H20_V_8830035_CID840309UG7.pdf")</f>
        <v>https://transparencia.cidesi.mx/comprobantes/2021/CQ2100915 /C2PRB100802H20_V_8830035_CID840309UG7.pdf</v>
      </c>
      <c r="AO576" t="str">
        <f>HYPERLINK("https://transparencia.cidesi.mx/comprobantes/2021/CQ2100915 /C2PRB100802H20_V_8830035_CID840309UG7.xml")</f>
        <v>https://transparencia.cidesi.mx/comprobantes/2021/CQ2100915 /C2PRB100802H20_V_8830035_CID840309UG7.xml</v>
      </c>
      <c r="AP576" t="s">
        <v>1114</v>
      </c>
      <c r="AQ576" t="s">
        <v>1115</v>
      </c>
      <c r="AR576" t="s">
        <v>1116</v>
      </c>
      <c r="AS576" t="s">
        <v>1117</v>
      </c>
      <c r="AT576" s="1">
        <v>44469</v>
      </c>
      <c r="AU576" t="s">
        <v>73</v>
      </c>
    </row>
    <row r="577" spans="1:47" x14ac:dyDescent="0.3">
      <c r="A577" t="s">
        <v>47</v>
      </c>
      <c r="B577" t="s">
        <v>182</v>
      </c>
      <c r="C577" t="s">
        <v>829</v>
      </c>
      <c r="D577">
        <v>662</v>
      </c>
      <c r="E577" t="s">
        <v>1118</v>
      </c>
      <c r="F577" t="s">
        <v>1119</v>
      </c>
      <c r="G577" t="s">
        <v>1120</v>
      </c>
      <c r="H577" t="s">
        <v>1121</v>
      </c>
      <c r="I577" t="s">
        <v>54</v>
      </c>
      <c r="J577" t="s">
        <v>1122</v>
      </c>
      <c r="K577" t="s">
        <v>56</v>
      </c>
      <c r="L577">
        <v>0</v>
      </c>
      <c r="M577" t="s">
        <v>73</v>
      </c>
      <c r="N577">
        <v>0</v>
      </c>
      <c r="O577" t="s">
        <v>58</v>
      </c>
      <c r="P577" t="s">
        <v>59</v>
      </c>
      <c r="Q577" t="s">
        <v>60</v>
      </c>
      <c r="R577" t="s">
        <v>1122</v>
      </c>
      <c r="S577" s="1">
        <v>44400</v>
      </c>
      <c r="T577" s="1">
        <v>44400</v>
      </c>
      <c r="U577">
        <v>37501</v>
      </c>
      <c r="V577" t="s">
        <v>61</v>
      </c>
      <c r="W577" t="s">
        <v>1123</v>
      </c>
      <c r="X577" s="1">
        <v>44406</v>
      </c>
      <c r="Y577" t="s">
        <v>63</v>
      </c>
      <c r="Z577">
        <v>159.47999999999999</v>
      </c>
      <c r="AA577">
        <v>16</v>
      </c>
      <c r="AB577">
        <v>25.52</v>
      </c>
      <c r="AC577">
        <v>0</v>
      </c>
      <c r="AD577">
        <v>185</v>
      </c>
      <c r="AE577">
        <v>185</v>
      </c>
      <c r="AF577">
        <v>545</v>
      </c>
      <c r="AG577" t="s">
        <v>1124</v>
      </c>
      <c r="AH577" t="s">
        <v>65</v>
      </c>
      <c r="AI577" t="s">
        <v>65</v>
      </c>
      <c r="AJ577" t="s">
        <v>66</v>
      </c>
      <c r="AK577" t="s">
        <v>66</v>
      </c>
      <c r="AL577" t="s">
        <v>66</v>
      </c>
      <c r="AM577" s="2" t="str">
        <f>HYPERLINK("https://transparencia.cidesi.mx/comprobantes/2021/CQ2100571 /C1F10080_PESF6412036E6.pdf")</f>
        <v>https://transparencia.cidesi.mx/comprobantes/2021/CQ2100571 /C1F10080_PESF6412036E6.pdf</v>
      </c>
      <c r="AN577" t="str">
        <f>HYPERLINK("https://transparencia.cidesi.mx/comprobantes/2021/CQ2100571 /C1F10080_PESF6412036E6.pdf")</f>
        <v>https://transparencia.cidesi.mx/comprobantes/2021/CQ2100571 /C1F10080_PESF6412036E6.pdf</v>
      </c>
      <c r="AO577" t="str">
        <f>HYPERLINK("https://transparencia.cidesi.mx/comprobantes/2021/CQ2100571 /C1F10080_PESF6412036E6.xml")</f>
        <v>https://transparencia.cidesi.mx/comprobantes/2021/CQ2100571 /C1F10080_PESF6412036E6.xml</v>
      </c>
      <c r="AP577" t="s">
        <v>1125</v>
      </c>
      <c r="AQ577" t="s">
        <v>1126</v>
      </c>
      <c r="AR577" t="s">
        <v>1127</v>
      </c>
      <c r="AS577" t="s">
        <v>1128</v>
      </c>
      <c r="AT577" s="1">
        <v>44407</v>
      </c>
      <c r="AU577" s="1">
        <v>44424</v>
      </c>
    </row>
    <row r="578" spans="1:47" x14ac:dyDescent="0.3">
      <c r="A578" t="s">
        <v>1129</v>
      </c>
      <c r="B578" t="s">
        <v>182</v>
      </c>
      <c r="C578" t="s">
        <v>829</v>
      </c>
      <c r="D578">
        <v>676</v>
      </c>
      <c r="E578" t="s">
        <v>1130</v>
      </c>
      <c r="F578" t="s">
        <v>1131</v>
      </c>
      <c r="G578" t="s">
        <v>1132</v>
      </c>
      <c r="H578" t="s">
        <v>1133</v>
      </c>
      <c r="I578" t="s">
        <v>54</v>
      </c>
      <c r="J578" t="s">
        <v>1134</v>
      </c>
      <c r="K578" t="s">
        <v>56</v>
      </c>
      <c r="L578">
        <v>0</v>
      </c>
      <c r="M578" t="s">
        <v>73</v>
      </c>
      <c r="N578">
        <v>0</v>
      </c>
      <c r="O578" t="s">
        <v>58</v>
      </c>
      <c r="P578" t="s">
        <v>59</v>
      </c>
      <c r="Q578" t="s">
        <v>1135</v>
      </c>
      <c r="R578" t="s">
        <v>1134</v>
      </c>
      <c r="S578" s="1">
        <v>44423</v>
      </c>
      <c r="T578" s="1">
        <v>44428</v>
      </c>
      <c r="U578">
        <v>37501</v>
      </c>
      <c r="V578" t="s">
        <v>104</v>
      </c>
      <c r="W578" t="s">
        <v>1136</v>
      </c>
      <c r="X578" s="1">
        <v>44432</v>
      </c>
      <c r="Y578" t="s">
        <v>63</v>
      </c>
      <c r="Z578">
        <v>5512.04</v>
      </c>
      <c r="AA578">
        <v>16</v>
      </c>
      <c r="AB578">
        <v>419.96</v>
      </c>
      <c r="AC578">
        <v>0</v>
      </c>
      <c r="AD578">
        <v>5932</v>
      </c>
      <c r="AE578">
        <v>7971.89</v>
      </c>
      <c r="AF578">
        <v>8618</v>
      </c>
      <c r="AG578" t="s">
        <v>1137</v>
      </c>
      <c r="AH578" t="s">
        <v>65</v>
      </c>
      <c r="AI578" t="s">
        <v>65</v>
      </c>
      <c r="AJ578" t="s">
        <v>66</v>
      </c>
      <c r="AK578" t="s">
        <v>66</v>
      </c>
      <c r="AL578" t="s">
        <v>66</v>
      </c>
      <c r="AM578" s="2" t="str">
        <f>HYPERLINK("https://transparencia.cidesi.mx/comprobantes/2021/CQ2100681 /C17930CIDESISALGADOTOMAS.xml")</f>
        <v>https://transparencia.cidesi.mx/comprobantes/2021/CQ2100681 /C17930CIDESISALGADOTOMAS.xml</v>
      </c>
      <c r="AN578" t="str">
        <f>HYPERLINK("https://transparencia.cidesi.mx/comprobantes/2021/CQ2100681 /C17930CIDESISALGADOTOMAS.xml")</f>
        <v>https://transparencia.cidesi.mx/comprobantes/2021/CQ2100681 /C17930CIDESISALGADOTOMAS.xml</v>
      </c>
      <c r="AO578" t="str">
        <f>HYPERLINK("https://transparencia.cidesi.mx/comprobantes/2021/CQ2100681 /C17930CIDESISALGADOTOMAS.xml")</f>
        <v>https://transparencia.cidesi.mx/comprobantes/2021/CQ2100681 /C17930CIDESISALGADOTOMAS.xml</v>
      </c>
      <c r="AP578" t="s">
        <v>1138</v>
      </c>
      <c r="AQ578" t="s">
        <v>1139</v>
      </c>
      <c r="AR578" t="s">
        <v>1140</v>
      </c>
      <c r="AS578" t="s">
        <v>1140</v>
      </c>
      <c r="AT578" s="1">
        <v>44433</v>
      </c>
      <c r="AU578" s="1">
        <v>44433</v>
      </c>
    </row>
    <row r="579" spans="1:47" x14ac:dyDescent="0.3">
      <c r="A579" t="s">
        <v>1129</v>
      </c>
      <c r="B579" t="s">
        <v>182</v>
      </c>
      <c r="C579" t="s">
        <v>829</v>
      </c>
      <c r="D579">
        <v>676</v>
      </c>
      <c r="E579" t="s">
        <v>1130</v>
      </c>
      <c r="F579" t="s">
        <v>1131</v>
      </c>
      <c r="G579" t="s">
        <v>1132</v>
      </c>
      <c r="H579" t="s">
        <v>1133</v>
      </c>
      <c r="I579" t="s">
        <v>54</v>
      </c>
      <c r="J579" t="s">
        <v>1134</v>
      </c>
      <c r="K579" t="s">
        <v>56</v>
      </c>
      <c r="L579">
        <v>0</v>
      </c>
      <c r="M579" t="s">
        <v>73</v>
      </c>
      <c r="N579">
        <v>0</v>
      </c>
      <c r="O579" t="s">
        <v>58</v>
      </c>
      <c r="P579" t="s">
        <v>59</v>
      </c>
      <c r="Q579" t="s">
        <v>1135</v>
      </c>
      <c r="R579" t="s">
        <v>1134</v>
      </c>
      <c r="S579" s="1">
        <v>44423</v>
      </c>
      <c r="T579" s="1">
        <v>44428</v>
      </c>
      <c r="U579">
        <v>37501</v>
      </c>
      <c r="V579" t="s">
        <v>61</v>
      </c>
      <c r="W579" t="s">
        <v>1136</v>
      </c>
      <c r="X579" s="1">
        <v>44432</v>
      </c>
      <c r="Y579" t="s">
        <v>63</v>
      </c>
      <c r="Z579">
        <v>430.56</v>
      </c>
      <c r="AA579">
        <v>16</v>
      </c>
      <c r="AB579">
        <v>34.44</v>
      </c>
      <c r="AC579">
        <v>0</v>
      </c>
      <c r="AD579">
        <v>465</v>
      </c>
      <c r="AE579">
        <v>7971.89</v>
      </c>
      <c r="AF579">
        <v>8618</v>
      </c>
      <c r="AG579" t="s">
        <v>1141</v>
      </c>
      <c r="AH579" t="s">
        <v>65</v>
      </c>
      <c r="AI579" t="s">
        <v>65</v>
      </c>
      <c r="AJ579" t="s">
        <v>66</v>
      </c>
      <c r="AK579" t="s">
        <v>66</v>
      </c>
      <c r="AL579" t="s">
        <v>66</v>
      </c>
      <c r="AM579" s="2" t="str">
        <f>HYPERLINK("https://transparencia.cidesi.mx/comprobantes/2021/CQ2100681 /C2SERIEFA751.xml")</f>
        <v>https://transparencia.cidesi.mx/comprobantes/2021/CQ2100681 /C2SERIEFA751.xml</v>
      </c>
      <c r="AN579" t="str">
        <f>HYPERLINK("https://transparencia.cidesi.mx/comprobantes/2021/CQ2100681 /C2SERIEFA751.xml")</f>
        <v>https://transparencia.cidesi.mx/comprobantes/2021/CQ2100681 /C2SERIEFA751.xml</v>
      </c>
      <c r="AO579" t="str">
        <f>HYPERLINK("https://transparencia.cidesi.mx/comprobantes/2021/CQ2100681 /C2SERIEFA751.xml")</f>
        <v>https://transparencia.cidesi.mx/comprobantes/2021/CQ2100681 /C2SERIEFA751.xml</v>
      </c>
      <c r="AP579" t="s">
        <v>1138</v>
      </c>
      <c r="AQ579" t="s">
        <v>1139</v>
      </c>
      <c r="AR579" t="s">
        <v>1140</v>
      </c>
      <c r="AS579" t="s">
        <v>1140</v>
      </c>
      <c r="AT579" s="1">
        <v>44433</v>
      </c>
      <c r="AU579" s="1">
        <v>44433</v>
      </c>
    </row>
    <row r="580" spans="1:47" x14ac:dyDescent="0.3">
      <c r="A580" t="s">
        <v>1129</v>
      </c>
      <c r="B580" t="s">
        <v>182</v>
      </c>
      <c r="C580" t="s">
        <v>829</v>
      </c>
      <c r="D580">
        <v>676</v>
      </c>
      <c r="E580" t="s">
        <v>1130</v>
      </c>
      <c r="F580" t="s">
        <v>1131</v>
      </c>
      <c r="G580" t="s">
        <v>1132</v>
      </c>
      <c r="H580" t="s">
        <v>1133</v>
      </c>
      <c r="I580" t="s">
        <v>54</v>
      </c>
      <c r="J580" t="s">
        <v>1134</v>
      </c>
      <c r="K580" t="s">
        <v>56</v>
      </c>
      <c r="L580">
        <v>0</v>
      </c>
      <c r="M580" t="s">
        <v>73</v>
      </c>
      <c r="N580">
        <v>0</v>
      </c>
      <c r="O580" t="s">
        <v>58</v>
      </c>
      <c r="P580" t="s">
        <v>59</v>
      </c>
      <c r="Q580" t="s">
        <v>1135</v>
      </c>
      <c r="R580" t="s">
        <v>1134</v>
      </c>
      <c r="S580" s="1">
        <v>44423</v>
      </c>
      <c r="T580" s="1">
        <v>44428</v>
      </c>
      <c r="U580">
        <v>37501</v>
      </c>
      <c r="V580" t="s">
        <v>61</v>
      </c>
      <c r="W580" t="s">
        <v>1136</v>
      </c>
      <c r="X580" s="1">
        <v>44432</v>
      </c>
      <c r="Y580" t="s">
        <v>63</v>
      </c>
      <c r="Z580">
        <v>258.33999999999997</v>
      </c>
      <c r="AA580">
        <v>16</v>
      </c>
      <c r="AB580">
        <v>20.66</v>
      </c>
      <c r="AC580">
        <v>0</v>
      </c>
      <c r="AD580">
        <v>279</v>
      </c>
      <c r="AE580">
        <v>7971.89</v>
      </c>
      <c r="AF580">
        <v>8618</v>
      </c>
      <c r="AG580" t="s">
        <v>1141</v>
      </c>
      <c r="AH580" t="s">
        <v>65</v>
      </c>
      <c r="AI580" t="s">
        <v>65</v>
      </c>
      <c r="AJ580" t="s">
        <v>66</v>
      </c>
      <c r="AK580" t="s">
        <v>66</v>
      </c>
      <c r="AL580" t="s">
        <v>66</v>
      </c>
      <c r="AM580" s="2" t="str">
        <f>HYPERLINK("https://transparencia.cidesi.mx/comprobantes/2021/CQ2100681 /C39ef2951a-b590-459d-a918-a449588879e8.xml")</f>
        <v>https://transparencia.cidesi.mx/comprobantes/2021/CQ2100681 /C39ef2951a-b590-459d-a918-a449588879e8.xml</v>
      </c>
      <c r="AN580" t="str">
        <f>HYPERLINK("https://transparencia.cidesi.mx/comprobantes/2021/CQ2100681 /C39ef2951a-b590-459d-a918-a449588879e8.xml")</f>
        <v>https://transparencia.cidesi.mx/comprobantes/2021/CQ2100681 /C39ef2951a-b590-459d-a918-a449588879e8.xml</v>
      </c>
      <c r="AO580" t="str">
        <f>HYPERLINK("https://transparencia.cidesi.mx/comprobantes/2021/CQ2100681 /C39ef2951a-b590-459d-a918-a449588879e8.xml")</f>
        <v>https://transparencia.cidesi.mx/comprobantes/2021/CQ2100681 /C39ef2951a-b590-459d-a918-a449588879e8.xml</v>
      </c>
      <c r="AP580" t="s">
        <v>1138</v>
      </c>
      <c r="AQ580" t="s">
        <v>1139</v>
      </c>
      <c r="AR580" t="s">
        <v>1140</v>
      </c>
      <c r="AS580" t="s">
        <v>1140</v>
      </c>
      <c r="AT580" s="1">
        <v>44433</v>
      </c>
      <c r="AU580" s="1">
        <v>44433</v>
      </c>
    </row>
    <row r="581" spans="1:47" x14ac:dyDescent="0.3">
      <c r="A581" t="s">
        <v>1129</v>
      </c>
      <c r="B581" t="s">
        <v>182</v>
      </c>
      <c r="C581" t="s">
        <v>829</v>
      </c>
      <c r="D581">
        <v>676</v>
      </c>
      <c r="E581" t="s">
        <v>1130</v>
      </c>
      <c r="F581" t="s">
        <v>1131</v>
      </c>
      <c r="G581" t="s">
        <v>1132</v>
      </c>
      <c r="H581" t="s">
        <v>1133</v>
      </c>
      <c r="I581" t="s">
        <v>54</v>
      </c>
      <c r="J581" t="s">
        <v>1134</v>
      </c>
      <c r="K581" t="s">
        <v>56</v>
      </c>
      <c r="L581">
        <v>0</v>
      </c>
      <c r="M581" t="s">
        <v>73</v>
      </c>
      <c r="N581">
        <v>0</v>
      </c>
      <c r="O581" t="s">
        <v>58</v>
      </c>
      <c r="P581" t="s">
        <v>59</v>
      </c>
      <c r="Q581" t="s">
        <v>1135</v>
      </c>
      <c r="R581" t="s">
        <v>1134</v>
      </c>
      <c r="S581" s="1">
        <v>44423</v>
      </c>
      <c r="T581" s="1">
        <v>44428</v>
      </c>
      <c r="U581">
        <v>37501</v>
      </c>
      <c r="V581" t="s">
        <v>61</v>
      </c>
      <c r="W581" t="s">
        <v>1136</v>
      </c>
      <c r="X581" s="1">
        <v>44432</v>
      </c>
      <c r="Y581" t="s">
        <v>63</v>
      </c>
      <c r="Z581">
        <v>959.26</v>
      </c>
      <c r="AA581">
        <v>16</v>
      </c>
      <c r="AB581">
        <v>76.739999999999995</v>
      </c>
      <c r="AC581">
        <v>0</v>
      </c>
      <c r="AD581">
        <v>1036</v>
      </c>
      <c r="AE581">
        <v>7971.89</v>
      </c>
      <c r="AF581">
        <v>8618</v>
      </c>
      <c r="AG581" t="s">
        <v>1141</v>
      </c>
      <c r="AH581" t="s">
        <v>65</v>
      </c>
      <c r="AI581" t="s">
        <v>65</v>
      </c>
      <c r="AJ581" t="s">
        <v>66</v>
      </c>
      <c r="AK581" t="s">
        <v>66</v>
      </c>
      <c r="AL581" t="s">
        <v>66</v>
      </c>
      <c r="AM581" s="2" t="str">
        <f>HYPERLINK("https://transparencia.cidesi.mx/comprobantes/2021/CQ2100681 /C4A68165.xml")</f>
        <v>https://transparencia.cidesi.mx/comprobantes/2021/CQ2100681 /C4A68165.xml</v>
      </c>
      <c r="AN581" t="str">
        <f>HYPERLINK("https://transparencia.cidesi.mx/comprobantes/2021/CQ2100681 /C4A68165.xml")</f>
        <v>https://transparencia.cidesi.mx/comprobantes/2021/CQ2100681 /C4A68165.xml</v>
      </c>
      <c r="AO581" t="str">
        <f>HYPERLINK("https://transparencia.cidesi.mx/comprobantes/2021/CQ2100681 /C4A68165.xml")</f>
        <v>https://transparencia.cidesi.mx/comprobantes/2021/CQ2100681 /C4A68165.xml</v>
      </c>
      <c r="AP581" t="s">
        <v>1138</v>
      </c>
      <c r="AQ581" t="s">
        <v>1139</v>
      </c>
      <c r="AR581" t="s">
        <v>1140</v>
      </c>
      <c r="AS581" t="s">
        <v>1140</v>
      </c>
      <c r="AT581" s="1">
        <v>44433</v>
      </c>
      <c r="AU581" s="1">
        <v>44433</v>
      </c>
    </row>
    <row r="582" spans="1:47" x14ac:dyDescent="0.3">
      <c r="A582" t="s">
        <v>1129</v>
      </c>
      <c r="B582" t="s">
        <v>182</v>
      </c>
      <c r="C582" t="s">
        <v>829</v>
      </c>
      <c r="D582">
        <v>676</v>
      </c>
      <c r="E582" t="s">
        <v>1130</v>
      </c>
      <c r="F582" t="s">
        <v>1131</v>
      </c>
      <c r="G582" t="s">
        <v>1132</v>
      </c>
      <c r="H582" t="s">
        <v>1133</v>
      </c>
      <c r="I582" t="s">
        <v>54</v>
      </c>
      <c r="J582" t="s">
        <v>1134</v>
      </c>
      <c r="K582" t="s">
        <v>56</v>
      </c>
      <c r="L582">
        <v>0</v>
      </c>
      <c r="M582" t="s">
        <v>73</v>
      </c>
      <c r="N582">
        <v>0</v>
      </c>
      <c r="O582" t="s">
        <v>58</v>
      </c>
      <c r="P582" t="s">
        <v>59</v>
      </c>
      <c r="Q582" t="s">
        <v>1135</v>
      </c>
      <c r="R582" t="s">
        <v>1134</v>
      </c>
      <c r="S582" s="1">
        <v>44423</v>
      </c>
      <c r="T582" s="1">
        <v>44428</v>
      </c>
      <c r="U582">
        <v>37501</v>
      </c>
      <c r="V582" t="s">
        <v>61</v>
      </c>
      <c r="W582" t="s">
        <v>1136</v>
      </c>
      <c r="X582" s="1">
        <v>44432</v>
      </c>
      <c r="Y582" t="s">
        <v>63</v>
      </c>
      <c r="Z582">
        <v>129.63</v>
      </c>
      <c r="AA582">
        <v>16</v>
      </c>
      <c r="AB582">
        <v>10.37</v>
      </c>
      <c r="AC582">
        <v>0</v>
      </c>
      <c r="AD582">
        <v>140</v>
      </c>
      <c r="AE582">
        <v>7971.89</v>
      </c>
      <c r="AF582">
        <v>8618</v>
      </c>
      <c r="AG582" t="s">
        <v>1141</v>
      </c>
      <c r="AH582" t="s">
        <v>65</v>
      </c>
      <c r="AI582" t="s">
        <v>65</v>
      </c>
      <c r="AJ582" t="s">
        <v>66</v>
      </c>
      <c r="AK582" t="s">
        <v>66</v>
      </c>
      <c r="AL582" t="s">
        <v>66</v>
      </c>
      <c r="AM582" s="2" t="str">
        <f>HYPERLINK("https://transparencia.cidesi.mx/comprobantes/2021/CQ2100681 /C5CID840309UG7F-A0000013199.xml")</f>
        <v>https://transparencia.cidesi.mx/comprobantes/2021/CQ2100681 /C5CID840309UG7F-A0000013199.xml</v>
      </c>
      <c r="AN582" t="str">
        <f>HYPERLINK("https://transparencia.cidesi.mx/comprobantes/2021/CQ2100681 /C5CID840309UG7F-A0000013199.xml")</f>
        <v>https://transparencia.cidesi.mx/comprobantes/2021/CQ2100681 /C5CID840309UG7F-A0000013199.xml</v>
      </c>
      <c r="AO582" t="str">
        <f>HYPERLINK("https://transparencia.cidesi.mx/comprobantes/2021/CQ2100681 /C5CID840309UG7F-A0000013199.xml")</f>
        <v>https://transparencia.cidesi.mx/comprobantes/2021/CQ2100681 /C5CID840309UG7F-A0000013199.xml</v>
      </c>
      <c r="AP582" t="s">
        <v>1138</v>
      </c>
      <c r="AQ582" t="s">
        <v>1139</v>
      </c>
      <c r="AR582" t="s">
        <v>1140</v>
      </c>
      <c r="AS582" t="s">
        <v>1140</v>
      </c>
      <c r="AT582" s="1">
        <v>44433</v>
      </c>
      <c r="AU582" s="1">
        <v>44433</v>
      </c>
    </row>
    <row r="583" spans="1:47" x14ac:dyDescent="0.3">
      <c r="A583" t="s">
        <v>1129</v>
      </c>
      <c r="B583" t="s">
        <v>182</v>
      </c>
      <c r="C583" t="s">
        <v>829</v>
      </c>
      <c r="D583">
        <v>676</v>
      </c>
      <c r="E583" t="s">
        <v>1130</v>
      </c>
      <c r="F583" t="s">
        <v>1131</v>
      </c>
      <c r="G583" t="s">
        <v>1132</v>
      </c>
      <c r="H583" t="s">
        <v>1133</v>
      </c>
      <c r="I583" t="s">
        <v>54</v>
      </c>
      <c r="J583" t="s">
        <v>1134</v>
      </c>
      <c r="K583" t="s">
        <v>56</v>
      </c>
      <c r="L583">
        <v>0</v>
      </c>
      <c r="M583" t="s">
        <v>73</v>
      </c>
      <c r="N583">
        <v>0</v>
      </c>
      <c r="O583" t="s">
        <v>58</v>
      </c>
      <c r="P583" t="s">
        <v>59</v>
      </c>
      <c r="Q583" t="s">
        <v>1135</v>
      </c>
      <c r="R583" t="s">
        <v>1134</v>
      </c>
      <c r="S583" s="1">
        <v>44423</v>
      </c>
      <c r="T583" s="1">
        <v>44428</v>
      </c>
      <c r="U583">
        <v>37501</v>
      </c>
      <c r="V583" t="s">
        <v>534</v>
      </c>
      <c r="W583" t="s">
        <v>1136</v>
      </c>
      <c r="X583" s="1">
        <v>44432</v>
      </c>
      <c r="Y583" t="s">
        <v>63</v>
      </c>
      <c r="Z583">
        <v>43.08</v>
      </c>
      <c r="AA583">
        <v>16</v>
      </c>
      <c r="AB583">
        <v>6.89</v>
      </c>
      <c r="AC583">
        <v>0</v>
      </c>
      <c r="AD583">
        <v>49.97</v>
      </c>
      <c r="AE583">
        <v>7971.89</v>
      </c>
      <c r="AF583">
        <v>8618</v>
      </c>
      <c r="AG583" t="s">
        <v>1142</v>
      </c>
      <c r="AH583" t="s">
        <v>66</v>
      </c>
      <c r="AI583" t="s">
        <v>65</v>
      </c>
      <c r="AJ583" t="s">
        <v>66</v>
      </c>
      <c r="AK583" t="s">
        <v>66</v>
      </c>
      <c r="AL583" t="s">
        <v>66</v>
      </c>
      <c r="AM583" s="2" t="str">
        <f>HYPERLINK("https://transparencia.cidesi.mx/comprobantes/2021/CQ2100681 /C690c2fb0d-14c5-52c8-8c51-7dd902f86695.xml")</f>
        <v>https://transparencia.cidesi.mx/comprobantes/2021/CQ2100681 /C690c2fb0d-14c5-52c8-8c51-7dd902f86695.xml</v>
      </c>
      <c r="AN583" t="str">
        <f>HYPERLINK("https://transparencia.cidesi.mx/comprobantes/2021/CQ2100681 /C690c2fb0d-14c5-52c8-8c51-7dd902f86695.xml")</f>
        <v>https://transparencia.cidesi.mx/comprobantes/2021/CQ2100681 /C690c2fb0d-14c5-52c8-8c51-7dd902f86695.xml</v>
      </c>
      <c r="AO583" t="str">
        <f>HYPERLINK("https://transparencia.cidesi.mx/comprobantes/2021/CQ2100681 /C690c2fb0d-14c5-52c8-8c51-7dd902f86695.xml")</f>
        <v>https://transparencia.cidesi.mx/comprobantes/2021/CQ2100681 /C690c2fb0d-14c5-52c8-8c51-7dd902f86695.xml</v>
      </c>
      <c r="AP583" t="s">
        <v>1138</v>
      </c>
      <c r="AQ583" t="s">
        <v>1139</v>
      </c>
      <c r="AR583" t="s">
        <v>1140</v>
      </c>
      <c r="AS583" t="s">
        <v>1140</v>
      </c>
      <c r="AT583" s="1">
        <v>44433</v>
      </c>
      <c r="AU583" s="1">
        <v>44433</v>
      </c>
    </row>
    <row r="584" spans="1:47" x14ac:dyDescent="0.3">
      <c r="A584" t="s">
        <v>1129</v>
      </c>
      <c r="B584" t="s">
        <v>182</v>
      </c>
      <c r="C584" t="s">
        <v>829</v>
      </c>
      <c r="D584">
        <v>676</v>
      </c>
      <c r="E584" t="s">
        <v>1130</v>
      </c>
      <c r="F584" t="s">
        <v>1131</v>
      </c>
      <c r="G584" t="s">
        <v>1132</v>
      </c>
      <c r="H584" t="s">
        <v>1133</v>
      </c>
      <c r="I584" t="s">
        <v>54</v>
      </c>
      <c r="J584" t="s">
        <v>1134</v>
      </c>
      <c r="K584" t="s">
        <v>56</v>
      </c>
      <c r="L584">
        <v>0</v>
      </c>
      <c r="M584" t="s">
        <v>73</v>
      </c>
      <c r="N584">
        <v>0</v>
      </c>
      <c r="O584" t="s">
        <v>58</v>
      </c>
      <c r="P584" t="s">
        <v>59</v>
      </c>
      <c r="Q584" t="s">
        <v>1135</v>
      </c>
      <c r="R584" t="s">
        <v>1134</v>
      </c>
      <c r="S584" s="1">
        <v>44423</v>
      </c>
      <c r="T584" s="1">
        <v>44428</v>
      </c>
      <c r="U584">
        <v>37501</v>
      </c>
      <c r="V584" t="s">
        <v>534</v>
      </c>
      <c r="W584" t="s">
        <v>1136</v>
      </c>
      <c r="X584" s="1">
        <v>44432</v>
      </c>
      <c r="Y584" t="s">
        <v>63</v>
      </c>
      <c r="Z584">
        <v>64.739999999999995</v>
      </c>
      <c r="AA584">
        <v>16</v>
      </c>
      <c r="AB584">
        <v>5.18</v>
      </c>
      <c r="AC584">
        <v>0</v>
      </c>
      <c r="AD584">
        <v>69.92</v>
      </c>
      <c r="AE584">
        <v>7971.89</v>
      </c>
      <c r="AF584">
        <v>8618</v>
      </c>
      <c r="AG584" t="s">
        <v>1142</v>
      </c>
      <c r="AH584" t="s">
        <v>66</v>
      </c>
      <c r="AI584" t="s">
        <v>65</v>
      </c>
      <c r="AJ584" t="s">
        <v>66</v>
      </c>
      <c r="AK584" t="s">
        <v>66</v>
      </c>
      <c r="AL584" t="s">
        <v>66</v>
      </c>
      <c r="AM584" s="2" t="str">
        <f>HYPERLINK("https://transparencia.cidesi.mx/comprobantes/2021/CQ2100681 /C74355bf7b-8e3f-5730-8cc4-b95f6af5b1be.xml")</f>
        <v>https://transparencia.cidesi.mx/comprobantes/2021/CQ2100681 /C74355bf7b-8e3f-5730-8cc4-b95f6af5b1be.xml</v>
      </c>
      <c r="AN584" t="str">
        <f>HYPERLINK("https://transparencia.cidesi.mx/comprobantes/2021/CQ2100681 /C74355bf7b-8e3f-5730-8cc4-b95f6af5b1be.xml")</f>
        <v>https://transparencia.cidesi.mx/comprobantes/2021/CQ2100681 /C74355bf7b-8e3f-5730-8cc4-b95f6af5b1be.xml</v>
      </c>
      <c r="AO584" t="str">
        <f>HYPERLINK("https://transparencia.cidesi.mx/comprobantes/2021/CQ2100681 /C74355bf7b-8e3f-5730-8cc4-b95f6af5b1be.xml")</f>
        <v>https://transparencia.cidesi.mx/comprobantes/2021/CQ2100681 /C74355bf7b-8e3f-5730-8cc4-b95f6af5b1be.xml</v>
      </c>
      <c r="AP584" t="s">
        <v>1138</v>
      </c>
      <c r="AQ584" t="s">
        <v>1139</v>
      </c>
      <c r="AR584" t="s">
        <v>1140</v>
      </c>
      <c r="AS584" t="s">
        <v>1140</v>
      </c>
      <c r="AT584" s="1">
        <v>44433</v>
      </c>
      <c r="AU584" s="1">
        <v>44433</v>
      </c>
    </row>
    <row r="585" spans="1:47" x14ac:dyDescent="0.3">
      <c r="A585" t="s">
        <v>1129</v>
      </c>
      <c r="B585" t="s">
        <v>182</v>
      </c>
      <c r="C585" t="s">
        <v>829</v>
      </c>
      <c r="D585">
        <v>676</v>
      </c>
      <c r="E585" t="s">
        <v>1130</v>
      </c>
      <c r="F585" t="s">
        <v>1131</v>
      </c>
      <c r="G585" t="s">
        <v>1132</v>
      </c>
      <c r="H585" t="s">
        <v>1143</v>
      </c>
      <c r="I585" t="s">
        <v>54</v>
      </c>
      <c r="J585" t="s">
        <v>1144</v>
      </c>
      <c r="K585" t="s">
        <v>56</v>
      </c>
      <c r="L585">
        <v>0</v>
      </c>
      <c r="M585" t="s">
        <v>73</v>
      </c>
      <c r="N585">
        <v>0</v>
      </c>
      <c r="O585" t="s">
        <v>58</v>
      </c>
      <c r="P585" t="s">
        <v>59</v>
      </c>
      <c r="Q585" t="s">
        <v>189</v>
      </c>
      <c r="R585" t="s">
        <v>1144</v>
      </c>
      <c r="S585" s="1">
        <v>44423</v>
      </c>
      <c r="T585" s="1">
        <v>44423</v>
      </c>
      <c r="U585">
        <v>37104</v>
      </c>
      <c r="V585" t="s">
        <v>471</v>
      </c>
      <c r="W585" t="s">
        <v>1145</v>
      </c>
      <c r="X585" s="1">
        <v>44433</v>
      </c>
      <c r="Y585" t="s">
        <v>63</v>
      </c>
      <c r="Z585">
        <v>6989</v>
      </c>
      <c r="AA585">
        <v>16</v>
      </c>
      <c r="AB585">
        <v>367</v>
      </c>
      <c r="AC585">
        <v>0</v>
      </c>
      <c r="AD585">
        <v>7356</v>
      </c>
      <c r="AE585">
        <v>7356</v>
      </c>
      <c r="AF585">
        <v>0</v>
      </c>
      <c r="AG585" t="s">
        <v>1146</v>
      </c>
      <c r="AH585" t="s">
        <v>66</v>
      </c>
      <c r="AI585" t="s">
        <v>65</v>
      </c>
      <c r="AJ585" t="s">
        <v>66</v>
      </c>
      <c r="AK585" t="s">
        <v>66</v>
      </c>
      <c r="AL585" t="s">
        <v>66</v>
      </c>
      <c r="AM585" s="2" t="str">
        <f>HYPERLINK("https://transparencia.cidesi.mx/comprobantes/2021/CAQ210027 /C1CID840309UG7_PFWN5X_144071835.xml")</f>
        <v>https://transparencia.cidesi.mx/comprobantes/2021/CAQ210027 /C1CID840309UG7_PFWN5X_144071835.xml</v>
      </c>
      <c r="AN585" t="str">
        <f>HYPERLINK("https://transparencia.cidesi.mx/comprobantes/2021/CAQ210027 /C1CID840309UG7_PFWN5X_144071835.xml")</f>
        <v>https://transparencia.cidesi.mx/comprobantes/2021/CAQ210027 /C1CID840309UG7_PFWN5X_144071835.xml</v>
      </c>
      <c r="AO585" t="str">
        <f>HYPERLINK("https://transparencia.cidesi.mx/comprobantes/2021/CAQ210027 /C1CID840309UG7_PFWN5X_144071835.xml")</f>
        <v>https://transparencia.cidesi.mx/comprobantes/2021/CAQ210027 /C1CID840309UG7_PFWN5X_144071835.xml</v>
      </c>
      <c r="AP585" t="s">
        <v>1147</v>
      </c>
      <c r="AQ585" t="s">
        <v>1148</v>
      </c>
      <c r="AR585" t="s">
        <v>1149</v>
      </c>
      <c r="AS585" t="s">
        <v>1150</v>
      </c>
      <c r="AT585" s="1">
        <v>44433</v>
      </c>
      <c r="AU585" s="1">
        <v>44433</v>
      </c>
    </row>
    <row r="586" spans="1:47" x14ac:dyDescent="0.3">
      <c r="A586" t="s">
        <v>1151</v>
      </c>
      <c r="B586" t="s">
        <v>182</v>
      </c>
      <c r="C586" t="s">
        <v>183</v>
      </c>
      <c r="D586">
        <v>685</v>
      </c>
      <c r="E586" t="s">
        <v>1152</v>
      </c>
      <c r="F586" t="s">
        <v>1153</v>
      </c>
      <c r="G586" t="s">
        <v>1154</v>
      </c>
      <c r="H586" t="s">
        <v>1155</v>
      </c>
      <c r="I586" t="s">
        <v>54</v>
      </c>
      <c r="J586" t="s">
        <v>1156</v>
      </c>
      <c r="K586" t="s">
        <v>56</v>
      </c>
      <c r="L586">
        <v>0</v>
      </c>
      <c r="M586" t="s">
        <v>73</v>
      </c>
      <c r="N586">
        <v>0</v>
      </c>
      <c r="O586" t="s">
        <v>58</v>
      </c>
      <c r="P586" t="s">
        <v>59</v>
      </c>
      <c r="Q586" t="s">
        <v>60</v>
      </c>
      <c r="R586" t="s">
        <v>1156</v>
      </c>
      <c r="S586" s="1">
        <v>44393</v>
      </c>
      <c r="T586" s="1">
        <v>44393</v>
      </c>
      <c r="U586">
        <v>37501</v>
      </c>
      <c r="V586" t="s">
        <v>61</v>
      </c>
      <c r="W586" t="s">
        <v>1157</v>
      </c>
      <c r="X586" s="1">
        <v>44396</v>
      </c>
      <c r="Y586" t="s">
        <v>63</v>
      </c>
      <c r="Z586">
        <v>243.1</v>
      </c>
      <c r="AA586">
        <v>16</v>
      </c>
      <c r="AB586">
        <v>38.9</v>
      </c>
      <c r="AC586">
        <v>0</v>
      </c>
      <c r="AD586">
        <v>282</v>
      </c>
      <c r="AE586">
        <v>496</v>
      </c>
      <c r="AF586">
        <v>545</v>
      </c>
      <c r="AG586" t="s">
        <v>1158</v>
      </c>
      <c r="AH586" t="s">
        <v>65</v>
      </c>
      <c r="AI586" t="s">
        <v>65</v>
      </c>
      <c r="AJ586" t="s">
        <v>66</v>
      </c>
      <c r="AK586" t="s">
        <v>66</v>
      </c>
      <c r="AL586" t="s">
        <v>66</v>
      </c>
      <c r="AM586" s="2" t="str">
        <f>HYPERLINK("https://transparencia.cidesi.mx/comprobantes/2021/CQ2100523 /C1FACTURA $ 282.00.pdf")</f>
        <v>https://transparencia.cidesi.mx/comprobantes/2021/CQ2100523 /C1FACTURA $ 282.00.pdf</v>
      </c>
      <c r="AN586" t="str">
        <f>HYPERLINK("https://transparencia.cidesi.mx/comprobantes/2021/CQ2100523 /C1FACTURA $ 282.00.pdf")</f>
        <v>https://transparencia.cidesi.mx/comprobantes/2021/CQ2100523 /C1FACTURA $ 282.00.pdf</v>
      </c>
      <c r="AO586" t="str">
        <f>HYPERLINK("https://transparencia.cidesi.mx/comprobantes/2021/CQ2100523 /C1FACTURA $ 282.00.xml")</f>
        <v>https://transparencia.cidesi.mx/comprobantes/2021/CQ2100523 /C1FACTURA $ 282.00.xml</v>
      </c>
      <c r="AP586" t="s">
        <v>1159</v>
      </c>
      <c r="AQ586" t="s">
        <v>1160</v>
      </c>
      <c r="AR586" t="s">
        <v>1161</v>
      </c>
      <c r="AS586" t="s">
        <v>1162</v>
      </c>
      <c r="AT586" s="1">
        <v>44397</v>
      </c>
      <c r="AU586" s="1">
        <v>44399</v>
      </c>
    </row>
    <row r="587" spans="1:47" x14ac:dyDescent="0.3">
      <c r="A587" t="s">
        <v>1151</v>
      </c>
      <c r="B587" t="s">
        <v>182</v>
      </c>
      <c r="C587" t="s">
        <v>183</v>
      </c>
      <c r="D587">
        <v>685</v>
      </c>
      <c r="E587" t="s">
        <v>1152</v>
      </c>
      <c r="F587" t="s">
        <v>1153</v>
      </c>
      <c r="G587" t="s">
        <v>1154</v>
      </c>
      <c r="H587" t="s">
        <v>1155</v>
      </c>
      <c r="I587" t="s">
        <v>54</v>
      </c>
      <c r="J587" t="s">
        <v>1156</v>
      </c>
      <c r="K587" t="s">
        <v>56</v>
      </c>
      <c r="L587">
        <v>0</v>
      </c>
      <c r="M587" t="s">
        <v>73</v>
      </c>
      <c r="N587">
        <v>0</v>
      </c>
      <c r="O587" t="s">
        <v>58</v>
      </c>
      <c r="P587" t="s">
        <v>59</v>
      </c>
      <c r="Q587" t="s">
        <v>60</v>
      </c>
      <c r="R587" t="s">
        <v>1156</v>
      </c>
      <c r="S587" s="1">
        <v>44393</v>
      </c>
      <c r="T587" s="1">
        <v>44393</v>
      </c>
      <c r="U587">
        <v>37501</v>
      </c>
      <c r="V587" t="s">
        <v>61</v>
      </c>
      <c r="W587" t="s">
        <v>1157</v>
      </c>
      <c r="X587" s="1">
        <v>44396</v>
      </c>
      <c r="Y587" t="s">
        <v>63</v>
      </c>
      <c r="Z587">
        <v>184.48</v>
      </c>
      <c r="AA587">
        <v>16</v>
      </c>
      <c r="AB587">
        <v>29.52</v>
      </c>
      <c r="AC587">
        <v>0</v>
      </c>
      <c r="AD587">
        <v>214</v>
      </c>
      <c r="AE587">
        <v>496</v>
      </c>
      <c r="AF587">
        <v>545</v>
      </c>
      <c r="AG587" t="s">
        <v>1158</v>
      </c>
      <c r="AH587" t="s">
        <v>65</v>
      </c>
      <c r="AI587" t="s">
        <v>65</v>
      </c>
      <c r="AJ587" t="s">
        <v>66</v>
      </c>
      <c r="AK587" t="s">
        <v>66</v>
      </c>
      <c r="AL587" t="s">
        <v>66</v>
      </c>
      <c r="AM587" s="2" t="str">
        <f>HYPERLINK("https://transparencia.cidesi.mx/comprobantes/2021/CQ2100523 /C2FACTURA $ 214.00.pdf")</f>
        <v>https://transparencia.cidesi.mx/comprobantes/2021/CQ2100523 /C2FACTURA $ 214.00.pdf</v>
      </c>
      <c r="AN587" t="str">
        <f>HYPERLINK("https://transparencia.cidesi.mx/comprobantes/2021/CQ2100523 /C2FACTURA $ 214.00.pdf")</f>
        <v>https://transparencia.cidesi.mx/comprobantes/2021/CQ2100523 /C2FACTURA $ 214.00.pdf</v>
      </c>
      <c r="AO587" t="str">
        <f>HYPERLINK("https://transparencia.cidesi.mx/comprobantes/2021/CQ2100523 /C2FACTURA $ 214.00.xml")</f>
        <v>https://transparencia.cidesi.mx/comprobantes/2021/CQ2100523 /C2FACTURA $ 214.00.xml</v>
      </c>
      <c r="AP587" t="s">
        <v>1159</v>
      </c>
      <c r="AQ587" t="s">
        <v>1160</v>
      </c>
      <c r="AR587" t="s">
        <v>1161</v>
      </c>
      <c r="AS587" t="s">
        <v>1162</v>
      </c>
      <c r="AT587" s="1">
        <v>44397</v>
      </c>
      <c r="AU587" s="1">
        <v>44399</v>
      </c>
    </row>
    <row r="588" spans="1:47" x14ac:dyDescent="0.3">
      <c r="A588" t="s">
        <v>1151</v>
      </c>
      <c r="B588" t="s">
        <v>182</v>
      </c>
      <c r="C588" t="s">
        <v>183</v>
      </c>
      <c r="D588">
        <v>685</v>
      </c>
      <c r="E588" t="s">
        <v>1152</v>
      </c>
      <c r="F588" t="s">
        <v>1153</v>
      </c>
      <c r="G588" t="s">
        <v>1154</v>
      </c>
      <c r="H588" t="s">
        <v>1163</v>
      </c>
      <c r="I588" t="s">
        <v>54</v>
      </c>
      <c r="J588" t="s">
        <v>1164</v>
      </c>
      <c r="K588" t="s">
        <v>56</v>
      </c>
      <c r="L588">
        <v>0</v>
      </c>
      <c r="M588" t="s">
        <v>73</v>
      </c>
      <c r="N588">
        <v>0</v>
      </c>
      <c r="O588" t="s">
        <v>58</v>
      </c>
      <c r="P588" t="s">
        <v>59</v>
      </c>
      <c r="Q588" t="s">
        <v>959</v>
      </c>
      <c r="R588" t="s">
        <v>1164</v>
      </c>
      <c r="S588" s="1">
        <v>44401</v>
      </c>
      <c r="T588" s="1">
        <v>44407</v>
      </c>
      <c r="U588">
        <v>37501</v>
      </c>
      <c r="V588" t="s">
        <v>104</v>
      </c>
      <c r="W588" t="s">
        <v>1165</v>
      </c>
      <c r="X588" s="1">
        <v>44440</v>
      </c>
      <c r="Y588" t="s">
        <v>100</v>
      </c>
      <c r="Z588">
        <v>709.75</v>
      </c>
      <c r="AA588">
        <v>16</v>
      </c>
      <c r="AB588">
        <v>110.25</v>
      </c>
      <c r="AC588">
        <v>0</v>
      </c>
      <c r="AD588">
        <v>820</v>
      </c>
      <c r="AE588">
        <v>6208.12</v>
      </c>
      <c r="AF588">
        <v>7091</v>
      </c>
      <c r="AG588" t="s">
        <v>1166</v>
      </c>
      <c r="AH588" t="s">
        <v>65</v>
      </c>
      <c r="AI588" t="s">
        <v>65</v>
      </c>
      <c r="AJ588" t="s">
        <v>66</v>
      </c>
      <c r="AK588" t="s">
        <v>66</v>
      </c>
      <c r="AL588" t="s">
        <v>66</v>
      </c>
      <c r="AM588" s="2" t="str">
        <f>HYPERLINK("https://transparencia.cidesi.mx/comprobantes/2021/CQ2100719 /C1factura hotel $ 820.00.pdf")</f>
        <v>https://transparencia.cidesi.mx/comprobantes/2021/CQ2100719 /C1factura hotel $ 820.00.pdf</v>
      </c>
      <c r="AN588" t="str">
        <f>HYPERLINK("https://transparencia.cidesi.mx/comprobantes/2021/CQ2100719 /C1factura hotel $ 820.00.pdf")</f>
        <v>https://transparencia.cidesi.mx/comprobantes/2021/CQ2100719 /C1factura hotel $ 820.00.pdf</v>
      </c>
      <c r="AO588" t="str">
        <f>HYPERLINK("https://transparencia.cidesi.mx/comprobantes/2021/CQ2100719 /C1factura hotel $ 820.00.xml")</f>
        <v>https://transparencia.cidesi.mx/comprobantes/2021/CQ2100719 /C1factura hotel $ 820.00.xml</v>
      </c>
      <c r="AP588" t="s">
        <v>1167</v>
      </c>
      <c r="AQ588" t="s">
        <v>1168</v>
      </c>
      <c r="AR588" t="s">
        <v>1169</v>
      </c>
      <c r="AS588" t="s">
        <v>1170</v>
      </c>
      <c r="AT588" s="1">
        <v>44453</v>
      </c>
      <c r="AU588" t="s">
        <v>73</v>
      </c>
    </row>
    <row r="589" spans="1:47" x14ac:dyDescent="0.3">
      <c r="A589" t="s">
        <v>1151</v>
      </c>
      <c r="B589" t="s">
        <v>182</v>
      </c>
      <c r="C589" t="s">
        <v>183</v>
      </c>
      <c r="D589">
        <v>685</v>
      </c>
      <c r="E589" t="s">
        <v>1152</v>
      </c>
      <c r="F589" t="s">
        <v>1153</v>
      </c>
      <c r="G589" t="s">
        <v>1154</v>
      </c>
      <c r="H589" t="s">
        <v>1163</v>
      </c>
      <c r="I589" t="s">
        <v>54</v>
      </c>
      <c r="J589" t="s">
        <v>1164</v>
      </c>
      <c r="K589" t="s">
        <v>56</v>
      </c>
      <c r="L589">
        <v>0</v>
      </c>
      <c r="M589" t="s">
        <v>73</v>
      </c>
      <c r="N589">
        <v>0</v>
      </c>
      <c r="O589" t="s">
        <v>58</v>
      </c>
      <c r="P589" t="s">
        <v>59</v>
      </c>
      <c r="Q589" t="s">
        <v>959</v>
      </c>
      <c r="R589" t="s">
        <v>1164</v>
      </c>
      <c r="S589" s="1">
        <v>44401</v>
      </c>
      <c r="T589" s="1">
        <v>44407</v>
      </c>
      <c r="U589">
        <v>37501</v>
      </c>
      <c r="V589" t="s">
        <v>104</v>
      </c>
      <c r="W589" t="s">
        <v>1165</v>
      </c>
      <c r="X589" s="1">
        <v>44440</v>
      </c>
      <c r="Y589" t="s">
        <v>100</v>
      </c>
      <c r="Z589">
        <v>328.91</v>
      </c>
      <c r="AA589">
        <v>16</v>
      </c>
      <c r="AB589">
        <v>51.09</v>
      </c>
      <c r="AC589">
        <v>0</v>
      </c>
      <c r="AD589">
        <v>380</v>
      </c>
      <c r="AE589">
        <v>6208.12</v>
      </c>
      <c r="AF589">
        <v>7091</v>
      </c>
      <c r="AG589" t="s">
        <v>1166</v>
      </c>
      <c r="AH589" t="s">
        <v>65</v>
      </c>
      <c r="AI589" t="s">
        <v>65</v>
      </c>
      <c r="AJ589" t="s">
        <v>66</v>
      </c>
      <c r="AK589" t="s">
        <v>66</v>
      </c>
      <c r="AL589" t="s">
        <v>66</v>
      </c>
      <c r="AM589" s="2" t="str">
        <f>HYPERLINK("https://transparencia.cidesi.mx/comprobantes/2021/CQ2100719 /C2hotel $ 380.00.pdf")</f>
        <v>https://transparencia.cidesi.mx/comprobantes/2021/CQ2100719 /C2hotel $ 380.00.pdf</v>
      </c>
      <c r="AN589" t="str">
        <f>HYPERLINK("https://transparencia.cidesi.mx/comprobantes/2021/CQ2100719 /C2hotel $ 380.00.pdf")</f>
        <v>https://transparencia.cidesi.mx/comprobantes/2021/CQ2100719 /C2hotel $ 380.00.pdf</v>
      </c>
      <c r="AO589" t="str">
        <f>HYPERLINK("https://transparencia.cidesi.mx/comprobantes/2021/CQ2100719 /C2hotel $ 380.00.xml")</f>
        <v>https://transparencia.cidesi.mx/comprobantes/2021/CQ2100719 /C2hotel $ 380.00.xml</v>
      </c>
      <c r="AP589" t="s">
        <v>1167</v>
      </c>
      <c r="AQ589" t="s">
        <v>1168</v>
      </c>
      <c r="AR589" t="s">
        <v>1169</v>
      </c>
      <c r="AS589" t="s">
        <v>1170</v>
      </c>
      <c r="AT589" s="1">
        <v>44453</v>
      </c>
      <c r="AU589" t="s">
        <v>73</v>
      </c>
    </row>
    <row r="590" spans="1:47" x14ac:dyDescent="0.3">
      <c r="A590" t="s">
        <v>1151</v>
      </c>
      <c r="B590" t="s">
        <v>182</v>
      </c>
      <c r="C590" t="s">
        <v>183</v>
      </c>
      <c r="D590">
        <v>685</v>
      </c>
      <c r="E590" t="s">
        <v>1152</v>
      </c>
      <c r="F590" t="s">
        <v>1153</v>
      </c>
      <c r="G590" t="s">
        <v>1154</v>
      </c>
      <c r="H590" t="s">
        <v>1163</v>
      </c>
      <c r="I590" t="s">
        <v>54</v>
      </c>
      <c r="J590" t="s">
        <v>1164</v>
      </c>
      <c r="K590" t="s">
        <v>56</v>
      </c>
      <c r="L590">
        <v>0</v>
      </c>
      <c r="M590" t="s">
        <v>73</v>
      </c>
      <c r="N590">
        <v>0</v>
      </c>
      <c r="O590" t="s">
        <v>58</v>
      </c>
      <c r="P590" t="s">
        <v>59</v>
      </c>
      <c r="Q590" t="s">
        <v>959</v>
      </c>
      <c r="R590" t="s">
        <v>1164</v>
      </c>
      <c r="S590" s="1">
        <v>44401</v>
      </c>
      <c r="T590" s="1">
        <v>44407</v>
      </c>
      <c r="U590">
        <v>37501</v>
      </c>
      <c r="V590" t="s">
        <v>104</v>
      </c>
      <c r="W590" t="s">
        <v>1165</v>
      </c>
      <c r="X590" s="1">
        <v>44440</v>
      </c>
      <c r="Y590" t="s">
        <v>100</v>
      </c>
      <c r="Z590">
        <v>717.46</v>
      </c>
      <c r="AA590">
        <v>16</v>
      </c>
      <c r="AB590">
        <v>112.54</v>
      </c>
      <c r="AC590">
        <v>0</v>
      </c>
      <c r="AD590">
        <v>830</v>
      </c>
      <c r="AE590">
        <v>6208.12</v>
      </c>
      <c r="AF590">
        <v>7091</v>
      </c>
      <c r="AG590" t="s">
        <v>1166</v>
      </c>
      <c r="AH590" t="s">
        <v>65</v>
      </c>
      <c r="AI590" t="s">
        <v>65</v>
      </c>
      <c r="AJ590" t="s">
        <v>66</v>
      </c>
      <c r="AK590" t="s">
        <v>66</v>
      </c>
      <c r="AL590" t="s">
        <v>66</v>
      </c>
      <c r="AM590" s="2" t="str">
        <f>HYPERLINK("https://transparencia.cidesi.mx/comprobantes/2021/CQ2100719 /C3hotel $ 830.00.pdf")</f>
        <v>https://transparencia.cidesi.mx/comprobantes/2021/CQ2100719 /C3hotel $ 830.00.pdf</v>
      </c>
      <c r="AN590" t="str">
        <f>HYPERLINK("https://transparencia.cidesi.mx/comprobantes/2021/CQ2100719 /C3hotel $ 830.00.pdf")</f>
        <v>https://transparencia.cidesi.mx/comprobantes/2021/CQ2100719 /C3hotel $ 830.00.pdf</v>
      </c>
      <c r="AO590" t="str">
        <f>HYPERLINK("https://transparencia.cidesi.mx/comprobantes/2021/CQ2100719 /C3hotel $ 830.00.xml")</f>
        <v>https://transparencia.cidesi.mx/comprobantes/2021/CQ2100719 /C3hotel $ 830.00.xml</v>
      </c>
      <c r="AP590" t="s">
        <v>1167</v>
      </c>
      <c r="AQ590" t="s">
        <v>1168</v>
      </c>
      <c r="AR590" t="s">
        <v>1169</v>
      </c>
      <c r="AS590" t="s">
        <v>1170</v>
      </c>
      <c r="AT590" s="1">
        <v>44453</v>
      </c>
      <c r="AU590" t="s">
        <v>73</v>
      </c>
    </row>
    <row r="591" spans="1:47" x14ac:dyDescent="0.3">
      <c r="A591" t="s">
        <v>1151</v>
      </c>
      <c r="B591" t="s">
        <v>182</v>
      </c>
      <c r="C591" t="s">
        <v>183</v>
      </c>
      <c r="D591">
        <v>685</v>
      </c>
      <c r="E591" t="s">
        <v>1152</v>
      </c>
      <c r="F591" t="s">
        <v>1153</v>
      </c>
      <c r="G591" t="s">
        <v>1154</v>
      </c>
      <c r="H591" t="s">
        <v>1163</v>
      </c>
      <c r="I591" t="s">
        <v>54</v>
      </c>
      <c r="J591" t="s">
        <v>1164</v>
      </c>
      <c r="K591" t="s">
        <v>56</v>
      </c>
      <c r="L591">
        <v>0</v>
      </c>
      <c r="M591" t="s">
        <v>73</v>
      </c>
      <c r="N591">
        <v>0</v>
      </c>
      <c r="O591" t="s">
        <v>58</v>
      </c>
      <c r="P591" t="s">
        <v>59</v>
      </c>
      <c r="Q591" t="s">
        <v>959</v>
      </c>
      <c r="R591" t="s">
        <v>1164</v>
      </c>
      <c r="S591" s="1">
        <v>44401</v>
      </c>
      <c r="T591" s="1">
        <v>44407</v>
      </c>
      <c r="U591">
        <v>37501</v>
      </c>
      <c r="V591" t="s">
        <v>104</v>
      </c>
      <c r="W591" t="s">
        <v>1165</v>
      </c>
      <c r="X591" s="1">
        <v>44440</v>
      </c>
      <c r="Y591" t="s">
        <v>100</v>
      </c>
      <c r="Z591">
        <v>536.64</v>
      </c>
      <c r="AA591">
        <v>16</v>
      </c>
      <c r="AB591">
        <v>83.36</v>
      </c>
      <c r="AC591">
        <v>0</v>
      </c>
      <c r="AD591">
        <v>620</v>
      </c>
      <c r="AE591">
        <v>6208.12</v>
      </c>
      <c r="AF591">
        <v>7091</v>
      </c>
      <c r="AG591" t="s">
        <v>1166</v>
      </c>
      <c r="AH591" t="s">
        <v>65</v>
      </c>
      <c r="AI591" t="s">
        <v>65</v>
      </c>
      <c r="AJ591" t="s">
        <v>66</v>
      </c>
      <c r="AK591" t="s">
        <v>66</v>
      </c>
      <c r="AL591" t="s">
        <v>66</v>
      </c>
      <c r="AM591" s="2" t="str">
        <f>HYPERLINK("https://transparencia.cidesi.mx/comprobantes/2021/CQ2100719 /C4hotel $ 620.00.pdf")</f>
        <v>https://transparencia.cidesi.mx/comprobantes/2021/CQ2100719 /C4hotel $ 620.00.pdf</v>
      </c>
      <c r="AN591" t="str">
        <f>HYPERLINK("https://transparencia.cidesi.mx/comprobantes/2021/CQ2100719 /C4hotel $ 620.00.pdf")</f>
        <v>https://transparencia.cidesi.mx/comprobantes/2021/CQ2100719 /C4hotel $ 620.00.pdf</v>
      </c>
      <c r="AO591" t="str">
        <f>HYPERLINK("https://transparencia.cidesi.mx/comprobantes/2021/CQ2100719 /C4hotel $ 620.00.xml")</f>
        <v>https://transparencia.cidesi.mx/comprobantes/2021/CQ2100719 /C4hotel $ 620.00.xml</v>
      </c>
      <c r="AP591" t="s">
        <v>1167</v>
      </c>
      <c r="AQ591" t="s">
        <v>1168</v>
      </c>
      <c r="AR591" t="s">
        <v>1169</v>
      </c>
      <c r="AS591" t="s">
        <v>1170</v>
      </c>
      <c r="AT591" s="1">
        <v>44453</v>
      </c>
      <c r="AU591" t="s">
        <v>73</v>
      </c>
    </row>
    <row r="592" spans="1:47" x14ac:dyDescent="0.3">
      <c r="A592" t="s">
        <v>1151</v>
      </c>
      <c r="B592" t="s">
        <v>182</v>
      </c>
      <c r="C592" t="s">
        <v>183</v>
      </c>
      <c r="D592">
        <v>685</v>
      </c>
      <c r="E592" t="s">
        <v>1152</v>
      </c>
      <c r="F592" t="s">
        <v>1153</v>
      </c>
      <c r="G592" t="s">
        <v>1154</v>
      </c>
      <c r="H592" t="s">
        <v>1163</v>
      </c>
      <c r="I592" t="s">
        <v>54</v>
      </c>
      <c r="J592" t="s">
        <v>1164</v>
      </c>
      <c r="K592" t="s">
        <v>56</v>
      </c>
      <c r="L592">
        <v>0</v>
      </c>
      <c r="M592" t="s">
        <v>73</v>
      </c>
      <c r="N592">
        <v>0</v>
      </c>
      <c r="O592" t="s">
        <v>58</v>
      </c>
      <c r="P592" t="s">
        <v>59</v>
      </c>
      <c r="Q592" t="s">
        <v>959</v>
      </c>
      <c r="R592" t="s">
        <v>1164</v>
      </c>
      <c r="S592" s="1">
        <v>44401</v>
      </c>
      <c r="T592" s="1">
        <v>44407</v>
      </c>
      <c r="U592">
        <v>37501</v>
      </c>
      <c r="V592" t="s">
        <v>61</v>
      </c>
      <c r="W592" t="s">
        <v>1165</v>
      </c>
      <c r="X592" s="1">
        <v>44440</v>
      </c>
      <c r="Y592" t="s">
        <v>100</v>
      </c>
      <c r="Z592">
        <v>193.97</v>
      </c>
      <c r="AA592">
        <v>16</v>
      </c>
      <c r="AB592">
        <v>31.03</v>
      </c>
      <c r="AC592">
        <v>0</v>
      </c>
      <c r="AD592">
        <v>225</v>
      </c>
      <c r="AE592">
        <v>6208.12</v>
      </c>
      <c r="AF592">
        <v>7091</v>
      </c>
      <c r="AG592" t="s">
        <v>1158</v>
      </c>
      <c r="AH592" t="s">
        <v>65</v>
      </c>
      <c r="AI592" t="s">
        <v>65</v>
      </c>
      <c r="AJ592" t="s">
        <v>66</v>
      </c>
      <c r="AK592" t="s">
        <v>66</v>
      </c>
      <c r="AL592" t="s">
        <v>66</v>
      </c>
      <c r="AM592" s="2" t="str">
        <f>HYPERLINK("https://transparencia.cidesi.mx/comprobantes/2021/CQ2100719 /C5factura $ 225.00.pdf")</f>
        <v>https://transparencia.cidesi.mx/comprobantes/2021/CQ2100719 /C5factura $ 225.00.pdf</v>
      </c>
      <c r="AN592" t="str">
        <f>HYPERLINK("https://transparencia.cidesi.mx/comprobantes/2021/CQ2100719 /C5factura $ 225.00.pdf")</f>
        <v>https://transparencia.cidesi.mx/comprobantes/2021/CQ2100719 /C5factura $ 225.00.pdf</v>
      </c>
      <c r="AO592" t="str">
        <f>HYPERLINK("https://transparencia.cidesi.mx/comprobantes/2021/CQ2100719 /C5factura $ 225.00.xml")</f>
        <v>https://transparencia.cidesi.mx/comprobantes/2021/CQ2100719 /C5factura $ 225.00.xml</v>
      </c>
      <c r="AP592" t="s">
        <v>1167</v>
      </c>
      <c r="AQ592" t="s">
        <v>1168</v>
      </c>
      <c r="AR592" t="s">
        <v>1169</v>
      </c>
      <c r="AS592" t="s">
        <v>1170</v>
      </c>
      <c r="AT592" s="1">
        <v>44453</v>
      </c>
      <c r="AU592" t="s">
        <v>73</v>
      </c>
    </row>
    <row r="593" spans="1:47" x14ac:dyDescent="0.3">
      <c r="A593" t="s">
        <v>1151</v>
      </c>
      <c r="B593" t="s">
        <v>182</v>
      </c>
      <c r="C593" t="s">
        <v>183</v>
      </c>
      <c r="D593">
        <v>685</v>
      </c>
      <c r="E593" t="s">
        <v>1152</v>
      </c>
      <c r="F593" t="s">
        <v>1153</v>
      </c>
      <c r="G593" t="s">
        <v>1154</v>
      </c>
      <c r="H593" t="s">
        <v>1163</v>
      </c>
      <c r="I593" t="s">
        <v>54</v>
      </c>
      <c r="J593" t="s">
        <v>1164</v>
      </c>
      <c r="K593" t="s">
        <v>56</v>
      </c>
      <c r="L593">
        <v>0</v>
      </c>
      <c r="M593" t="s">
        <v>73</v>
      </c>
      <c r="N593">
        <v>0</v>
      </c>
      <c r="O593" t="s">
        <v>58</v>
      </c>
      <c r="P593" t="s">
        <v>59</v>
      </c>
      <c r="Q593" t="s">
        <v>959</v>
      </c>
      <c r="R593" t="s">
        <v>1164</v>
      </c>
      <c r="S593" s="1">
        <v>44401</v>
      </c>
      <c r="T593" s="1">
        <v>44407</v>
      </c>
      <c r="U593">
        <v>37501</v>
      </c>
      <c r="V593" t="s">
        <v>61</v>
      </c>
      <c r="W593" t="s">
        <v>1165</v>
      </c>
      <c r="X593" s="1">
        <v>44440</v>
      </c>
      <c r="Y593" t="s">
        <v>100</v>
      </c>
      <c r="Z593">
        <v>226.85</v>
      </c>
      <c r="AA593">
        <v>16</v>
      </c>
      <c r="AB593">
        <v>18.149999999999999</v>
      </c>
      <c r="AC593">
        <v>0</v>
      </c>
      <c r="AD593">
        <v>245</v>
      </c>
      <c r="AE593">
        <v>6208.12</v>
      </c>
      <c r="AF593">
        <v>7091</v>
      </c>
      <c r="AG593" t="s">
        <v>1158</v>
      </c>
      <c r="AH593" t="s">
        <v>65</v>
      </c>
      <c r="AI593" t="s">
        <v>65</v>
      </c>
      <c r="AJ593" t="s">
        <v>66</v>
      </c>
      <c r="AK593" t="s">
        <v>66</v>
      </c>
      <c r="AL593" t="s">
        <v>66</v>
      </c>
      <c r="AM593" s="2" t="str">
        <f>HYPERLINK("https://transparencia.cidesi.mx/comprobantes/2021/CQ2100719 /C6factura $ 245.00.pdf")</f>
        <v>https://transparencia.cidesi.mx/comprobantes/2021/CQ2100719 /C6factura $ 245.00.pdf</v>
      </c>
      <c r="AN593" t="str">
        <f>HYPERLINK("https://transparencia.cidesi.mx/comprobantes/2021/CQ2100719 /C6factura $ 245.00.pdf")</f>
        <v>https://transparencia.cidesi.mx/comprobantes/2021/CQ2100719 /C6factura $ 245.00.pdf</v>
      </c>
      <c r="AO593" t="str">
        <f>HYPERLINK("https://transparencia.cidesi.mx/comprobantes/2021/CQ2100719 /C6factura $ 245.00.xml")</f>
        <v>https://transparencia.cidesi.mx/comprobantes/2021/CQ2100719 /C6factura $ 245.00.xml</v>
      </c>
      <c r="AP593" t="s">
        <v>1167</v>
      </c>
      <c r="AQ593" t="s">
        <v>1168</v>
      </c>
      <c r="AR593" t="s">
        <v>1169</v>
      </c>
      <c r="AS593" t="s">
        <v>1170</v>
      </c>
      <c r="AT593" s="1">
        <v>44453</v>
      </c>
      <c r="AU593" t="s">
        <v>73</v>
      </c>
    </row>
    <row r="594" spans="1:47" x14ac:dyDescent="0.3">
      <c r="A594" t="s">
        <v>1151</v>
      </c>
      <c r="B594" t="s">
        <v>182</v>
      </c>
      <c r="C594" t="s">
        <v>183</v>
      </c>
      <c r="D594">
        <v>685</v>
      </c>
      <c r="E594" t="s">
        <v>1152</v>
      </c>
      <c r="F594" t="s">
        <v>1153</v>
      </c>
      <c r="G594" t="s">
        <v>1154</v>
      </c>
      <c r="H594" t="s">
        <v>1163</v>
      </c>
      <c r="I594" t="s">
        <v>54</v>
      </c>
      <c r="J594" t="s">
        <v>1164</v>
      </c>
      <c r="K594" t="s">
        <v>56</v>
      </c>
      <c r="L594">
        <v>0</v>
      </c>
      <c r="M594" t="s">
        <v>73</v>
      </c>
      <c r="N594">
        <v>0</v>
      </c>
      <c r="O594" t="s">
        <v>58</v>
      </c>
      <c r="P594" t="s">
        <v>59</v>
      </c>
      <c r="Q594" t="s">
        <v>959</v>
      </c>
      <c r="R594" t="s">
        <v>1164</v>
      </c>
      <c r="S594" s="1">
        <v>44401</v>
      </c>
      <c r="T594" s="1">
        <v>44407</v>
      </c>
      <c r="U594">
        <v>37501</v>
      </c>
      <c r="V594" t="s">
        <v>61</v>
      </c>
      <c r="W594" t="s">
        <v>1165</v>
      </c>
      <c r="X594" s="1">
        <v>44440</v>
      </c>
      <c r="Y594" t="s">
        <v>100</v>
      </c>
      <c r="Z594">
        <v>153.44999999999999</v>
      </c>
      <c r="AA594">
        <v>16</v>
      </c>
      <c r="AB594">
        <v>24.55</v>
      </c>
      <c r="AC594">
        <v>0</v>
      </c>
      <c r="AD594">
        <v>178</v>
      </c>
      <c r="AE594">
        <v>6208.12</v>
      </c>
      <c r="AF594">
        <v>7091</v>
      </c>
      <c r="AG594" t="s">
        <v>1158</v>
      </c>
      <c r="AH594" t="s">
        <v>65</v>
      </c>
      <c r="AI594" t="s">
        <v>65</v>
      </c>
      <c r="AJ594" t="s">
        <v>66</v>
      </c>
      <c r="AK594" t="s">
        <v>66</v>
      </c>
      <c r="AL594" t="s">
        <v>66</v>
      </c>
      <c r="AM594" s="2" t="str">
        <f>HYPERLINK("https://transparencia.cidesi.mx/comprobantes/2021/CQ2100719 /C7factura$ 178.00.pdf")</f>
        <v>https://transparencia.cidesi.mx/comprobantes/2021/CQ2100719 /C7factura$ 178.00.pdf</v>
      </c>
      <c r="AN594" t="str">
        <f>HYPERLINK("https://transparencia.cidesi.mx/comprobantes/2021/CQ2100719 /C7factura$ 178.00.pdf")</f>
        <v>https://transparencia.cidesi.mx/comprobantes/2021/CQ2100719 /C7factura$ 178.00.pdf</v>
      </c>
      <c r="AO594" t="str">
        <f>HYPERLINK("https://transparencia.cidesi.mx/comprobantes/2021/CQ2100719 /C7factura $ 178.00.xml")</f>
        <v>https://transparencia.cidesi.mx/comprobantes/2021/CQ2100719 /C7factura $ 178.00.xml</v>
      </c>
      <c r="AP594" t="s">
        <v>1167</v>
      </c>
      <c r="AQ594" t="s">
        <v>1168</v>
      </c>
      <c r="AR594" t="s">
        <v>1169</v>
      </c>
      <c r="AS594" t="s">
        <v>1170</v>
      </c>
      <c r="AT594" s="1">
        <v>44453</v>
      </c>
      <c r="AU594" t="s">
        <v>73</v>
      </c>
    </row>
    <row r="595" spans="1:47" x14ac:dyDescent="0.3">
      <c r="A595" t="s">
        <v>1151</v>
      </c>
      <c r="B595" t="s">
        <v>182</v>
      </c>
      <c r="C595" t="s">
        <v>183</v>
      </c>
      <c r="D595">
        <v>685</v>
      </c>
      <c r="E595" t="s">
        <v>1152</v>
      </c>
      <c r="F595" t="s">
        <v>1153</v>
      </c>
      <c r="G595" t="s">
        <v>1154</v>
      </c>
      <c r="H595" t="s">
        <v>1163</v>
      </c>
      <c r="I595" t="s">
        <v>54</v>
      </c>
      <c r="J595" t="s">
        <v>1164</v>
      </c>
      <c r="K595" t="s">
        <v>56</v>
      </c>
      <c r="L595">
        <v>0</v>
      </c>
      <c r="M595" t="s">
        <v>73</v>
      </c>
      <c r="N595">
        <v>0</v>
      </c>
      <c r="O595" t="s">
        <v>58</v>
      </c>
      <c r="P595" t="s">
        <v>59</v>
      </c>
      <c r="Q595" t="s">
        <v>959</v>
      </c>
      <c r="R595" t="s">
        <v>1164</v>
      </c>
      <c r="S595" s="1">
        <v>44401</v>
      </c>
      <c r="T595" s="1">
        <v>44407</v>
      </c>
      <c r="U595">
        <v>37501</v>
      </c>
      <c r="V595" t="s">
        <v>61</v>
      </c>
      <c r="W595" t="s">
        <v>1165</v>
      </c>
      <c r="X595" s="1">
        <v>44440</v>
      </c>
      <c r="Y595" t="s">
        <v>100</v>
      </c>
      <c r="Z595">
        <v>236.21</v>
      </c>
      <c r="AA595">
        <v>16</v>
      </c>
      <c r="AB595">
        <v>37.79</v>
      </c>
      <c r="AC595">
        <v>0</v>
      </c>
      <c r="AD595">
        <v>274</v>
      </c>
      <c r="AE595">
        <v>6208.12</v>
      </c>
      <c r="AF595">
        <v>7091</v>
      </c>
      <c r="AG595" t="s">
        <v>1158</v>
      </c>
      <c r="AH595" t="s">
        <v>65</v>
      </c>
      <c r="AI595" t="s">
        <v>66</v>
      </c>
      <c r="AJ595" t="s">
        <v>66</v>
      </c>
      <c r="AK595" t="s">
        <v>66</v>
      </c>
      <c r="AL595" t="s">
        <v>66</v>
      </c>
      <c r="AM595" s="2" t="s">
        <v>73</v>
      </c>
      <c r="AN595" t="s">
        <v>73</v>
      </c>
      <c r="AO595" t="s">
        <v>73</v>
      </c>
      <c r="AP595" t="s">
        <v>1167</v>
      </c>
      <c r="AQ595" t="s">
        <v>1168</v>
      </c>
      <c r="AR595" t="s">
        <v>1169</v>
      </c>
      <c r="AS595" t="s">
        <v>1170</v>
      </c>
      <c r="AT595" s="1">
        <v>44453</v>
      </c>
      <c r="AU595" t="s">
        <v>73</v>
      </c>
    </row>
    <row r="596" spans="1:47" x14ac:dyDescent="0.3">
      <c r="A596" t="s">
        <v>1151</v>
      </c>
      <c r="B596" t="s">
        <v>182</v>
      </c>
      <c r="C596" t="s">
        <v>183</v>
      </c>
      <c r="D596">
        <v>685</v>
      </c>
      <c r="E596" t="s">
        <v>1152</v>
      </c>
      <c r="F596" t="s">
        <v>1153</v>
      </c>
      <c r="G596" t="s">
        <v>1154</v>
      </c>
      <c r="H596" t="s">
        <v>1163</v>
      </c>
      <c r="I596" t="s">
        <v>54</v>
      </c>
      <c r="J596" t="s">
        <v>1164</v>
      </c>
      <c r="K596" t="s">
        <v>56</v>
      </c>
      <c r="L596">
        <v>0</v>
      </c>
      <c r="M596" t="s">
        <v>73</v>
      </c>
      <c r="N596">
        <v>0</v>
      </c>
      <c r="O596" t="s">
        <v>58</v>
      </c>
      <c r="P596" t="s">
        <v>59</v>
      </c>
      <c r="Q596" t="s">
        <v>959</v>
      </c>
      <c r="R596" t="s">
        <v>1164</v>
      </c>
      <c r="S596" s="1">
        <v>44401</v>
      </c>
      <c r="T596" s="1">
        <v>44407</v>
      </c>
      <c r="U596">
        <v>37501</v>
      </c>
      <c r="V596" t="s">
        <v>61</v>
      </c>
      <c r="W596" t="s">
        <v>1165</v>
      </c>
      <c r="X596" s="1">
        <v>44440</v>
      </c>
      <c r="Y596" t="s">
        <v>100</v>
      </c>
      <c r="Z596">
        <v>224.14</v>
      </c>
      <c r="AA596">
        <v>16</v>
      </c>
      <c r="AB596">
        <v>35.86</v>
      </c>
      <c r="AC596">
        <v>0</v>
      </c>
      <c r="AD596">
        <v>260</v>
      </c>
      <c r="AE596">
        <v>6208.12</v>
      </c>
      <c r="AF596">
        <v>7091</v>
      </c>
      <c r="AG596" t="s">
        <v>1158</v>
      </c>
      <c r="AH596" t="s">
        <v>65</v>
      </c>
      <c r="AI596" t="s">
        <v>65</v>
      </c>
      <c r="AJ596" t="s">
        <v>66</v>
      </c>
      <c r="AK596" t="s">
        <v>66</v>
      </c>
      <c r="AL596" t="s">
        <v>66</v>
      </c>
      <c r="AM596" s="2" t="str">
        <f>HYPERLINK("https://transparencia.cidesi.mx/comprobantes/2021/CQ2100719 /C9factura $260.00.pdf")</f>
        <v>https://transparencia.cidesi.mx/comprobantes/2021/CQ2100719 /C9factura $260.00.pdf</v>
      </c>
      <c r="AN596" t="str">
        <f>HYPERLINK("https://transparencia.cidesi.mx/comprobantes/2021/CQ2100719 /C9factura $260.00.pdf")</f>
        <v>https://transparencia.cidesi.mx/comprobantes/2021/CQ2100719 /C9factura $260.00.pdf</v>
      </c>
      <c r="AO596" t="str">
        <f>HYPERLINK("https://transparencia.cidesi.mx/comprobantes/2021/CQ2100719 /C9factura $ 260.00.xml")</f>
        <v>https://transparencia.cidesi.mx/comprobantes/2021/CQ2100719 /C9factura $ 260.00.xml</v>
      </c>
      <c r="AP596" t="s">
        <v>1167</v>
      </c>
      <c r="AQ596" t="s">
        <v>1168</v>
      </c>
      <c r="AR596" t="s">
        <v>1169</v>
      </c>
      <c r="AS596" t="s">
        <v>1170</v>
      </c>
      <c r="AT596" s="1">
        <v>44453</v>
      </c>
      <c r="AU596" t="s">
        <v>73</v>
      </c>
    </row>
    <row r="597" spans="1:47" x14ac:dyDescent="0.3">
      <c r="A597" t="s">
        <v>1151</v>
      </c>
      <c r="B597" t="s">
        <v>182</v>
      </c>
      <c r="C597" t="s">
        <v>183</v>
      </c>
      <c r="D597">
        <v>685</v>
      </c>
      <c r="E597" t="s">
        <v>1152</v>
      </c>
      <c r="F597" t="s">
        <v>1153</v>
      </c>
      <c r="G597" t="s">
        <v>1154</v>
      </c>
      <c r="H597" t="s">
        <v>1163</v>
      </c>
      <c r="I597" t="s">
        <v>54</v>
      </c>
      <c r="J597" t="s">
        <v>1164</v>
      </c>
      <c r="K597" t="s">
        <v>56</v>
      </c>
      <c r="L597">
        <v>0</v>
      </c>
      <c r="M597" t="s">
        <v>73</v>
      </c>
      <c r="N597">
        <v>0</v>
      </c>
      <c r="O597" t="s">
        <v>58</v>
      </c>
      <c r="P597" t="s">
        <v>59</v>
      </c>
      <c r="Q597" t="s">
        <v>959</v>
      </c>
      <c r="R597" t="s">
        <v>1164</v>
      </c>
      <c r="S597" s="1">
        <v>44401</v>
      </c>
      <c r="T597" s="1">
        <v>44407</v>
      </c>
      <c r="U597">
        <v>37501</v>
      </c>
      <c r="V597" t="s">
        <v>61</v>
      </c>
      <c r="W597" t="s">
        <v>1165</v>
      </c>
      <c r="X597" s="1">
        <v>44440</v>
      </c>
      <c r="Y597" t="s">
        <v>100</v>
      </c>
      <c r="Z597">
        <v>244.83</v>
      </c>
      <c r="AA597">
        <v>16</v>
      </c>
      <c r="AB597">
        <v>39.17</v>
      </c>
      <c r="AC597">
        <v>28</v>
      </c>
      <c r="AD597">
        <v>312</v>
      </c>
      <c r="AE597">
        <v>6208.12</v>
      </c>
      <c r="AF597">
        <v>7091</v>
      </c>
      <c r="AG597" t="s">
        <v>1158</v>
      </c>
      <c r="AH597" t="s">
        <v>65</v>
      </c>
      <c r="AI597" t="s">
        <v>65</v>
      </c>
      <c r="AJ597" t="s">
        <v>66</v>
      </c>
      <c r="AK597" t="s">
        <v>66</v>
      </c>
      <c r="AL597" t="s">
        <v>66</v>
      </c>
      <c r="AM597" s="2" t="str">
        <f>HYPERLINK("https://transparencia.cidesi.mx/comprobantes/2021/CQ2100719 /C10factura $ 284.00.pdf")</f>
        <v>https://transparencia.cidesi.mx/comprobantes/2021/CQ2100719 /C10factura $ 284.00.pdf</v>
      </c>
      <c r="AN597" t="str">
        <f>HYPERLINK("https://transparencia.cidesi.mx/comprobantes/2021/CQ2100719 /C10factura $ 284.00.pdf")</f>
        <v>https://transparencia.cidesi.mx/comprobantes/2021/CQ2100719 /C10factura $ 284.00.pdf</v>
      </c>
      <c r="AO597" t="str">
        <f>HYPERLINK("https://transparencia.cidesi.mx/comprobantes/2021/CQ2100719 /C10factura $ 284.00.xml")</f>
        <v>https://transparencia.cidesi.mx/comprobantes/2021/CQ2100719 /C10factura $ 284.00.xml</v>
      </c>
      <c r="AP597" t="s">
        <v>1167</v>
      </c>
      <c r="AQ597" t="s">
        <v>1168</v>
      </c>
      <c r="AR597" t="s">
        <v>1169</v>
      </c>
      <c r="AS597" t="s">
        <v>1170</v>
      </c>
      <c r="AT597" s="1">
        <v>44453</v>
      </c>
      <c r="AU597" t="s">
        <v>73</v>
      </c>
    </row>
    <row r="598" spans="1:47" x14ac:dyDescent="0.3">
      <c r="A598" t="s">
        <v>1151</v>
      </c>
      <c r="B598" t="s">
        <v>182</v>
      </c>
      <c r="C598" t="s">
        <v>183</v>
      </c>
      <c r="D598">
        <v>685</v>
      </c>
      <c r="E598" t="s">
        <v>1152</v>
      </c>
      <c r="F598" t="s">
        <v>1153</v>
      </c>
      <c r="G598" t="s">
        <v>1154</v>
      </c>
      <c r="H598" t="s">
        <v>1163</v>
      </c>
      <c r="I598" t="s">
        <v>54</v>
      </c>
      <c r="J598" t="s">
        <v>1164</v>
      </c>
      <c r="K598" t="s">
        <v>56</v>
      </c>
      <c r="L598">
        <v>0</v>
      </c>
      <c r="M598" t="s">
        <v>73</v>
      </c>
      <c r="N598">
        <v>0</v>
      </c>
      <c r="O598" t="s">
        <v>58</v>
      </c>
      <c r="P598" t="s">
        <v>59</v>
      </c>
      <c r="Q598" t="s">
        <v>959</v>
      </c>
      <c r="R598" t="s">
        <v>1164</v>
      </c>
      <c r="S598" s="1">
        <v>44401</v>
      </c>
      <c r="T598" s="1">
        <v>44407</v>
      </c>
      <c r="U598">
        <v>37501</v>
      </c>
      <c r="V598" t="s">
        <v>61</v>
      </c>
      <c r="W598" t="s">
        <v>1165</v>
      </c>
      <c r="X598" s="1">
        <v>44440</v>
      </c>
      <c r="Y598" t="s">
        <v>100</v>
      </c>
      <c r="Z598">
        <v>237.07</v>
      </c>
      <c r="AA598">
        <v>16</v>
      </c>
      <c r="AB598">
        <v>37.93</v>
      </c>
      <c r="AC598">
        <v>27.5</v>
      </c>
      <c r="AD598">
        <v>302.5</v>
      </c>
      <c r="AE598">
        <v>6208.12</v>
      </c>
      <c r="AF598">
        <v>7091</v>
      </c>
      <c r="AG598" t="s">
        <v>1158</v>
      </c>
      <c r="AH598" t="s">
        <v>65</v>
      </c>
      <c r="AI598" t="s">
        <v>65</v>
      </c>
      <c r="AJ598" t="s">
        <v>66</v>
      </c>
      <c r="AK598" t="s">
        <v>66</v>
      </c>
      <c r="AL598" t="s">
        <v>66</v>
      </c>
      <c r="AM598" s="2" t="str">
        <f>HYPERLINK("https://transparencia.cidesi.mx/comprobantes/2021/CQ2100719 /C12FACTURA $ 275.00.pdf")</f>
        <v>https://transparencia.cidesi.mx/comprobantes/2021/CQ2100719 /C12FACTURA $ 275.00.pdf</v>
      </c>
      <c r="AN598" t="str">
        <f>HYPERLINK("https://transparencia.cidesi.mx/comprobantes/2021/CQ2100719 /C12FACTURA $ 275.00.pdf")</f>
        <v>https://transparencia.cidesi.mx/comprobantes/2021/CQ2100719 /C12FACTURA $ 275.00.pdf</v>
      </c>
      <c r="AO598" t="str">
        <f>HYPERLINK("https://transparencia.cidesi.mx/comprobantes/2021/CQ2100719 /C12FACTURA $ 275.00.xml")</f>
        <v>https://transparencia.cidesi.mx/comprobantes/2021/CQ2100719 /C12FACTURA $ 275.00.xml</v>
      </c>
      <c r="AP598" t="s">
        <v>1167</v>
      </c>
      <c r="AQ598" t="s">
        <v>1168</v>
      </c>
      <c r="AR598" t="s">
        <v>1169</v>
      </c>
      <c r="AS598" t="s">
        <v>1170</v>
      </c>
      <c r="AT598" s="1">
        <v>44453</v>
      </c>
      <c r="AU598" t="s">
        <v>73</v>
      </c>
    </row>
    <row r="599" spans="1:47" x14ac:dyDescent="0.3">
      <c r="A599" t="s">
        <v>1151</v>
      </c>
      <c r="B599" t="s">
        <v>182</v>
      </c>
      <c r="C599" t="s">
        <v>183</v>
      </c>
      <c r="D599">
        <v>685</v>
      </c>
      <c r="E599" t="s">
        <v>1152</v>
      </c>
      <c r="F599" t="s">
        <v>1153</v>
      </c>
      <c r="G599" t="s">
        <v>1154</v>
      </c>
      <c r="H599" t="s">
        <v>1163</v>
      </c>
      <c r="I599" t="s">
        <v>54</v>
      </c>
      <c r="J599" t="s">
        <v>1164</v>
      </c>
      <c r="K599" t="s">
        <v>56</v>
      </c>
      <c r="L599">
        <v>0</v>
      </c>
      <c r="M599" t="s">
        <v>73</v>
      </c>
      <c r="N599">
        <v>0</v>
      </c>
      <c r="O599" t="s">
        <v>58</v>
      </c>
      <c r="P599" t="s">
        <v>59</v>
      </c>
      <c r="Q599" t="s">
        <v>959</v>
      </c>
      <c r="R599" t="s">
        <v>1164</v>
      </c>
      <c r="S599" s="1">
        <v>44401</v>
      </c>
      <c r="T599" s="1">
        <v>44407</v>
      </c>
      <c r="U599">
        <v>37501</v>
      </c>
      <c r="V599" t="s">
        <v>61</v>
      </c>
      <c r="W599" t="s">
        <v>1165</v>
      </c>
      <c r="X599" s="1">
        <v>44440</v>
      </c>
      <c r="Y599" t="s">
        <v>100</v>
      </c>
      <c r="Z599">
        <v>163.79</v>
      </c>
      <c r="AA599">
        <v>16</v>
      </c>
      <c r="AB599">
        <v>26.21</v>
      </c>
      <c r="AC599">
        <v>0</v>
      </c>
      <c r="AD599">
        <v>190</v>
      </c>
      <c r="AE599">
        <v>6208.12</v>
      </c>
      <c r="AF599">
        <v>7091</v>
      </c>
      <c r="AG599" t="s">
        <v>1158</v>
      </c>
      <c r="AH599" t="s">
        <v>65</v>
      </c>
      <c r="AI599" t="s">
        <v>65</v>
      </c>
      <c r="AJ599" t="s">
        <v>66</v>
      </c>
      <c r="AK599" t="s">
        <v>66</v>
      </c>
      <c r="AL599" t="s">
        <v>66</v>
      </c>
      <c r="AM599" s="2" t="str">
        <f>HYPERLINK("https://transparencia.cidesi.mx/comprobantes/2021/CQ2100719 /C13factura $ 190.00.pdf")</f>
        <v>https://transparencia.cidesi.mx/comprobantes/2021/CQ2100719 /C13factura $ 190.00.pdf</v>
      </c>
      <c r="AN599" t="str">
        <f>HYPERLINK("https://transparencia.cidesi.mx/comprobantes/2021/CQ2100719 /C13factura $ 190.00.pdf")</f>
        <v>https://transparencia.cidesi.mx/comprobantes/2021/CQ2100719 /C13factura $ 190.00.pdf</v>
      </c>
      <c r="AO599" t="str">
        <f>HYPERLINK("https://transparencia.cidesi.mx/comprobantes/2021/CQ2100719 /C13factura $ 190.00.xml")</f>
        <v>https://transparencia.cidesi.mx/comprobantes/2021/CQ2100719 /C13factura $ 190.00.xml</v>
      </c>
      <c r="AP599" t="s">
        <v>1167</v>
      </c>
      <c r="AQ599" t="s">
        <v>1168</v>
      </c>
      <c r="AR599" t="s">
        <v>1169</v>
      </c>
      <c r="AS599" t="s">
        <v>1170</v>
      </c>
      <c r="AT599" s="1">
        <v>44453</v>
      </c>
      <c r="AU599" t="s">
        <v>73</v>
      </c>
    </row>
    <row r="600" spans="1:47" x14ac:dyDescent="0.3">
      <c r="A600" t="s">
        <v>1151</v>
      </c>
      <c r="B600" t="s">
        <v>182</v>
      </c>
      <c r="C600" t="s">
        <v>183</v>
      </c>
      <c r="D600">
        <v>685</v>
      </c>
      <c r="E600" t="s">
        <v>1152</v>
      </c>
      <c r="F600" t="s">
        <v>1153</v>
      </c>
      <c r="G600" t="s">
        <v>1154</v>
      </c>
      <c r="H600" t="s">
        <v>1163</v>
      </c>
      <c r="I600" t="s">
        <v>54</v>
      </c>
      <c r="J600" t="s">
        <v>1164</v>
      </c>
      <c r="K600" t="s">
        <v>56</v>
      </c>
      <c r="L600">
        <v>0</v>
      </c>
      <c r="M600" t="s">
        <v>73</v>
      </c>
      <c r="N600">
        <v>0</v>
      </c>
      <c r="O600" t="s">
        <v>58</v>
      </c>
      <c r="P600" t="s">
        <v>59</v>
      </c>
      <c r="Q600" t="s">
        <v>959</v>
      </c>
      <c r="R600" t="s">
        <v>1164</v>
      </c>
      <c r="S600" s="1">
        <v>44401</v>
      </c>
      <c r="T600" s="1">
        <v>44407</v>
      </c>
      <c r="U600">
        <v>37501</v>
      </c>
      <c r="V600" t="s">
        <v>61</v>
      </c>
      <c r="W600" t="s">
        <v>1165</v>
      </c>
      <c r="X600" s="1">
        <v>44440</v>
      </c>
      <c r="Y600" t="s">
        <v>100</v>
      </c>
      <c r="Z600">
        <v>169.83</v>
      </c>
      <c r="AA600">
        <v>16</v>
      </c>
      <c r="AB600">
        <v>27.17</v>
      </c>
      <c r="AC600">
        <v>19.7</v>
      </c>
      <c r="AD600">
        <v>216.7</v>
      </c>
      <c r="AE600">
        <v>6208.12</v>
      </c>
      <c r="AF600">
        <v>7091</v>
      </c>
      <c r="AG600" t="s">
        <v>1158</v>
      </c>
      <c r="AH600" t="s">
        <v>65</v>
      </c>
      <c r="AI600" t="s">
        <v>65</v>
      </c>
      <c r="AJ600" t="s">
        <v>66</v>
      </c>
      <c r="AK600" t="s">
        <v>66</v>
      </c>
      <c r="AL600" t="s">
        <v>66</v>
      </c>
      <c r="AM600" s="2" t="str">
        <f>HYPERLINK("https://transparencia.cidesi.mx/comprobantes/2021/CQ2100719 /C14factura $ 197.00.pdf")</f>
        <v>https://transparencia.cidesi.mx/comprobantes/2021/CQ2100719 /C14factura $ 197.00.pdf</v>
      </c>
      <c r="AN600" t="str">
        <f>HYPERLINK("https://transparencia.cidesi.mx/comprobantes/2021/CQ2100719 /C14factura $ 197.00.pdf")</f>
        <v>https://transparencia.cidesi.mx/comprobantes/2021/CQ2100719 /C14factura $ 197.00.pdf</v>
      </c>
      <c r="AO600" t="str">
        <f>HYPERLINK("https://transparencia.cidesi.mx/comprobantes/2021/CQ2100719 /C14factura 197.00.xml")</f>
        <v>https://transparencia.cidesi.mx/comprobantes/2021/CQ2100719 /C14factura 197.00.xml</v>
      </c>
      <c r="AP600" t="s">
        <v>1167</v>
      </c>
      <c r="AQ600" t="s">
        <v>1168</v>
      </c>
      <c r="AR600" t="s">
        <v>1169</v>
      </c>
      <c r="AS600" t="s">
        <v>1170</v>
      </c>
      <c r="AT600" s="1">
        <v>44453</v>
      </c>
      <c r="AU600" t="s">
        <v>73</v>
      </c>
    </row>
    <row r="601" spans="1:47" x14ac:dyDescent="0.3">
      <c r="A601" t="s">
        <v>1151</v>
      </c>
      <c r="B601" t="s">
        <v>182</v>
      </c>
      <c r="C601" t="s">
        <v>183</v>
      </c>
      <c r="D601">
        <v>685</v>
      </c>
      <c r="E601" t="s">
        <v>1152</v>
      </c>
      <c r="F601" t="s">
        <v>1153</v>
      </c>
      <c r="G601" t="s">
        <v>1154</v>
      </c>
      <c r="H601" t="s">
        <v>1163</v>
      </c>
      <c r="I601" t="s">
        <v>54</v>
      </c>
      <c r="J601" t="s">
        <v>1164</v>
      </c>
      <c r="K601" t="s">
        <v>56</v>
      </c>
      <c r="L601">
        <v>0</v>
      </c>
      <c r="M601" t="s">
        <v>73</v>
      </c>
      <c r="N601">
        <v>0</v>
      </c>
      <c r="O601" t="s">
        <v>58</v>
      </c>
      <c r="P601" t="s">
        <v>59</v>
      </c>
      <c r="Q601" t="s">
        <v>959</v>
      </c>
      <c r="R601" t="s">
        <v>1164</v>
      </c>
      <c r="S601" s="1">
        <v>44401</v>
      </c>
      <c r="T601" s="1">
        <v>44407</v>
      </c>
      <c r="U601">
        <v>37501</v>
      </c>
      <c r="V601" t="s">
        <v>61</v>
      </c>
      <c r="W601" t="s">
        <v>1165</v>
      </c>
      <c r="X601" s="1">
        <v>44440</v>
      </c>
      <c r="Y601" t="s">
        <v>100</v>
      </c>
      <c r="Z601">
        <v>113.8</v>
      </c>
      <c r="AA601">
        <v>16</v>
      </c>
      <c r="AB601">
        <v>18.21</v>
      </c>
      <c r="AC601">
        <v>0</v>
      </c>
      <c r="AD601">
        <v>132.01</v>
      </c>
      <c r="AE601">
        <v>6208.12</v>
      </c>
      <c r="AF601">
        <v>7091</v>
      </c>
      <c r="AG601" t="s">
        <v>1158</v>
      </c>
      <c r="AH601" t="s">
        <v>65</v>
      </c>
      <c r="AI601" t="s">
        <v>65</v>
      </c>
      <c r="AJ601" t="s">
        <v>66</v>
      </c>
      <c r="AK601" t="s">
        <v>66</v>
      </c>
      <c r="AL601" t="s">
        <v>66</v>
      </c>
      <c r="AM601" s="2" t="str">
        <f>HYPERLINK("https://transparencia.cidesi.mx/comprobantes/2021/CQ2100719 /C15factura 132.01.pdf")</f>
        <v>https://transparencia.cidesi.mx/comprobantes/2021/CQ2100719 /C15factura 132.01.pdf</v>
      </c>
      <c r="AN601" t="str">
        <f>HYPERLINK("https://transparencia.cidesi.mx/comprobantes/2021/CQ2100719 /C15factura 132.01.pdf")</f>
        <v>https://transparencia.cidesi.mx/comprobantes/2021/CQ2100719 /C15factura 132.01.pdf</v>
      </c>
      <c r="AO601" t="str">
        <f>HYPERLINK("https://transparencia.cidesi.mx/comprobantes/2021/CQ2100719 /C15factura $ 132.01.xml")</f>
        <v>https://transparencia.cidesi.mx/comprobantes/2021/CQ2100719 /C15factura $ 132.01.xml</v>
      </c>
      <c r="AP601" t="s">
        <v>1167</v>
      </c>
      <c r="AQ601" t="s">
        <v>1168</v>
      </c>
      <c r="AR601" t="s">
        <v>1169</v>
      </c>
      <c r="AS601" t="s">
        <v>1170</v>
      </c>
      <c r="AT601" s="1">
        <v>44453</v>
      </c>
      <c r="AU601" t="s">
        <v>73</v>
      </c>
    </row>
    <row r="602" spans="1:47" x14ac:dyDescent="0.3">
      <c r="A602" t="s">
        <v>1151</v>
      </c>
      <c r="B602" t="s">
        <v>182</v>
      </c>
      <c r="C602" t="s">
        <v>183</v>
      </c>
      <c r="D602">
        <v>685</v>
      </c>
      <c r="E602" t="s">
        <v>1152</v>
      </c>
      <c r="F602" t="s">
        <v>1153</v>
      </c>
      <c r="G602" t="s">
        <v>1154</v>
      </c>
      <c r="H602" t="s">
        <v>1163</v>
      </c>
      <c r="I602" t="s">
        <v>54</v>
      </c>
      <c r="J602" t="s">
        <v>1164</v>
      </c>
      <c r="K602" t="s">
        <v>56</v>
      </c>
      <c r="L602">
        <v>0</v>
      </c>
      <c r="M602" t="s">
        <v>73</v>
      </c>
      <c r="N602">
        <v>0</v>
      </c>
      <c r="O602" t="s">
        <v>58</v>
      </c>
      <c r="P602" t="s">
        <v>59</v>
      </c>
      <c r="Q602" t="s">
        <v>959</v>
      </c>
      <c r="R602" t="s">
        <v>1164</v>
      </c>
      <c r="S602" s="1">
        <v>44401</v>
      </c>
      <c r="T602" s="1">
        <v>44407</v>
      </c>
      <c r="U602">
        <v>37501</v>
      </c>
      <c r="V602" t="s">
        <v>61</v>
      </c>
      <c r="W602" t="s">
        <v>1165</v>
      </c>
      <c r="X602" s="1">
        <v>44440</v>
      </c>
      <c r="Y602" t="s">
        <v>100</v>
      </c>
      <c r="Z602">
        <v>164.7</v>
      </c>
      <c r="AA602">
        <v>0</v>
      </c>
      <c r="AB602">
        <v>0</v>
      </c>
      <c r="AC602">
        <v>0</v>
      </c>
      <c r="AD602">
        <v>164.7</v>
      </c>
      <c r="AE602">
        <v>6208.12</v>
      </c>
      <c r="AF602">
        <v>7091</v>
      </c>
      <c r="AG602" t="s">
        <v>1158</v>
      </c>
      <c r="AH602" t="s">
        <v>65</v>
      </c>
      <c r="AI602" t="s">
        <v>65</v>
      </c>
      <c r="AJ602" t="s">
        <v>66</v>
      </c>
      <c r="AK602" t="s">
        <v>66</v>
      </c>
      <c r="AL602" t="s">
        <v>66</v>
      </c>
      <c r="AM602" s="2" t="str">
        <f>HYPERLINK("https://transparencia.cidesi.mx/comprobantes/2021/CQ2100719 /C18factura $ 164.70.pdf")</f>
        <v>https://transparencia.cidesi.mx/comprobantes/2021/CQ2100719 /C18factura $ 164.70.pdf</v>
      </c>
      <c r="AN602" t="str">
        <f>HYPERLINK("https://transparencia.cidesi.mx/comprobantes/2021/CQ2100719 /C18factura $ 164.70.pdf")</f>
        <v>https://transparencia.cidesi.mx/comprobantes/2021/CQ2100719 /C18factura $ 164.70.pdf</v>
      </c>
      <c r="AO602" t="str">
        <f>HYPERLINK("https://transparencia.cidesi.mx/comprobantes/2021/CQ2100719 /C18factura $ 164.70.xml")</f>
        <v>https://transparencia.cidesi.mx/comprobantes/2021/CQ2100719 /C18factura $ 164.70.xml</v>
      </c>
      <c r="AP602" t="s">
        <v>1167</v>
      </c>
      <c r="AQ602" t="s">
        <v>1168</v>
      </c>
      <c r="AR602" t="s">
        <v>1169</v>
      </c>
      <c r="AS602" t="s">
        <v>1170</v>
      </c>
      <c r="AT602" s="1">
        <v>44453</v>
      </c>
      <c r="AU602" t="s">
        <v>73</v>
      </c>
    </row>
    <row r="603" spans="1:47" x14ac:dyDescent="0.3">
      <c r="A603" t="s">
        <v>1151</v>
      </c>
      <c r="B603" t="s">
        <v>182</v>
      </c>
      <c r="C603" t="s">
        <v>183</v>
      </c>
      <c r="D603">
        <v>685</v>
      </c>
      <c r="E603" t="s">
        <v>1152</v>
      </c>
      <c r="F603" t="s">
        <v>1153</v>
      </c>
      <c r="G603" t="s">
        <v>1154</v>
      </c>
      <c r="H603" t="s">
        <v>1163</v>
      </c>
      <c r="I603" t="s">
        <v>54</v>
      </c>
      <c r="J603" t="s">
        <v>1164</v>
      </c>
      <c r="K603" t="s">
        <v>56</v>
      </c>
      <c r="L603">
        <v>0</v>
      </c>
      <c r="M603" t="s">
        <v>73</v>
      </c>
      <c r="N603">
        <v>0</v>
      </c>
      <c r="O603" t="s">
        <v>58</v>
      </c>
      <c r="P603" t="s">
        <v>59</v>
      </c>
      <c r="Q603" t="s">
        <v>959</v>
      </c>
      <c r="R603" t="s">
        <v>1164</v>
      </c>
      <c r="S603" s="1">
        <v>44401</v>
      </c>
      <c r="T603" s="1">
        <v>44407</v>
      </c>
      <c r="U603">
        <v>37501</v>
      </c>
      <c r="V603" t="s">
        <v>61</v>
      </c>
      <c r="W603" t="s">
        <v>1165</v>
      </c>
      <c r="X603" s="1">
        <v>44440</v>
      </c>
      <c r="Y603" t="s">
        <v>100</v>
      </c>
      <c r="Z603">
        <v>314.66000000000003</v>
      </c>
      <c r="AA603">
        <v>16</v>
      </c>
      <c r="AB603">
        <v>50.35</v>
      </c>
      <c r="AC603">
        <v>0</v>
      </c>
      <c r="AD603">
        <v>365.01</v>
      </c>
      <c r="AE603">
        <v>6208.12</v>
      </c>
      <c r="AF603">
        <v>7091</v>
      </c>
      <c r="AG603" t="s">
        <v>1158</v>
      </c>
      <c r="AH603" t="s">
        <v>65</v>
      </c>
      <c r="AI603" t="s">
        <v>65</v>
      </c>
      <c r="AJ603" t="s">
        <v>66</v>
      </c>
      <c r="AK603" t="s">
        <v>66</v>
      </c>
      <c r="AL603" t="s">
        <v>66</v>
      </c>
      <c r="AM603" s="2" t="str">
        <f>HYPERLINK("https://transparencia.cidesi.mx/comprobantes/2021/CQ2100719 /C22factura $ 365.01 pichilingue.pdf")</f>
        <v>https://transparencia.cidesi.mx/comprobantes/2021/CQ2100719 /C22factura $ 365.01 pichilingue.pdf</v>
      </c>
      <c r="AN603" t="str">
        <f>HYPERLINK("https://transparencia.cidesi.mx/comprobantes/2021/CQ2100719 /C22factura $ 365.01 pichilingue.pdf")</f>
        <v>https://transparencia.cidesi.mx/comprobantes/2021/CQ2100719 /C22factura $ 365.01 pichilingue.pdf</v>
      </c>
      <c r="AO603" t="str">
        <f>HYPERLINK("https://transparencia.cidesi.mx/comprobantes/2021/CQ2100719 /C22factura $365.01 pichilingue.xml")</f>
        <v>https://transparencia.cidesi.mx/comprobantes/2021/CQ2100719 /C22factura $365.01 pichilingue.xml</v>
      </c>
      <c r="AP603" t="s">
        <v>1167</v>
      </c>
      <c r="AQ603" t="s">
        <v>1168</v>
      </c>
      <c r="AR603" t="s">
        <v>1169</v>
      </c>
      <c r="AS603" t="s">
        <v>1170</v>
      </c>
      <c r="AT603" s="1">
        <v>44453</v>
      </c>
      <c r="AU603" t="s">
        <v>73</v>
      </c>
    </row>
    <row r="604" spans="1:47" x14ac:dyDescent="0.3">
      <c r="A604" t="s">
        <v>1151</v>
      </c>
      <c r="B604" t="s">
        <v>182</v>
      </c>
      <c r="C604" t="s">
        <v>183</v>
      </c>
      <c r="D604">
        <v>685</v>
      </c>
      <c r="E604" t="s">
        <v>1152</v>
      </c>
      <c r="F604" t="s">
        <v>1153</v>
      </c>
      <c r="G604" t="s">
        <v>1154</v>
      </c>
      <c r="H604" t="s">
        <v>1163</v>
      </c>
      <c r="I604" t="s">
        <v>54</v>
      </c>
      <c r="J604" t="s">
        <v>1164</v>
      </c>
      <c r="K604" t="s">
        <v>56</v>
      </c>
      <c r="L604">
        <v>0</v>
      </c>
      <c r="M604" t="s">
        <v>73</v>
      </c>
      <c r="N604">
        <v>0</v>
      </c>
      <c r="O604" t="s">
        <v>58</v>
      </c>
      <c r="P604" t="s">
        <v>59</v>
      </c>
      <c r="Q604" t="s">
        <v>959</v>
      </c>
      <c r="R604" t="s">
        <v>1164</v>
      </c>
      <c r="S604" s="1">
        <v>44401</v>
      </c>
      <c r="T604" s="1">
        <v>44407</v>
      </c>
      <c r="U604">
        <v>37501</v>
      </c>
      <c r="V604" t="s">
        <v>61</v>
      </c>
      <c r="W604" t="s">
        <v>1165</v>
      </c>
      <c r="X604" s="1">
        <v>44440</v>
      </c>
      <c r="Y604" t="s">
        <v>100</v>
      </c>
      <c r="Z604">
        <v>247.5</v>
      </c>
      <c r="AA604">
        <v>0</v>
      </c>
      <c r="AB604">
        <v>0</v>
      </c>
      <c r="AC604">
        <v>0</v>
      </c>
      <c r="AD604">
        <v>247.5</v>
      </c>
      <c r="AE604">
        <v>6208.12</v>
      </c>
      <c r="AF604">
        <v>7091</v>
      </c>
      <c r="AG604" t="s">
        <v>1158</v>
      </c>
      <c r="AH604" t="s">
        <v>65</v>
      </c>
      <c r="AI604" t="s">
        <v>66</v>
      </c>
      <c r="AJ604" t="s">
        <v>66</v>
      </c>
      <c r="AK604" t="s">
        <v>66</v>
      </c>
      <c r="AL604" t="s">
        <v>66</v>
      </c>
      <c r="AM604" s="2" t="s">
        <v>73</v>
      </c>
      <c r="AN604" t="s">
        <v>73</v>
      </c>
      <c r="AO604" t="s">
        <v>73</v>
      </c>
      <c r="AP604" t="s">
        <v>1167</v>
      </c>
      <c r="AQ604" t="s">
        <v>1168</v>
      </c>
      <c r="AR604" t="s">
        <v>1169</v>
      </c>
      <c r="AS604" t="s">
        <v>1170</v>
      </c>
      <c r="AT604" s="1">
        <v>44453</v>
      </c>
      <c r="AU604" t="s">
        <v>73</v>
      </c>
    </row>
    <row r="605" spans="1:47" x14ac:dyDescent="0.3">
      <c r="A605" t="s">
        <v>1151</v>
      </c>
      <c r="B605" t="s">
        <v>182</v>
      </c>
      <c r="C605" t="s">
        <v>183</v>
      </c>
      <c r="D605">
        <v>685</v>
      </c>
      <c r="E605" t="s">
        <v>1152</v>
      </c>
      <c r="F605" t="s">
        <v>1153</v>
      </c>
      <c r="G605" t="s">
        <v>1154</v>
      </c>
      <c r="H605" t="s">
        <v>1163</v>
      </c>
      <c r="I605" t="s">
        <v>54</v>
      </c>
      <c r="J605" t="s">
        <v>1164</v>
      </c>
      <c r="K605" t="s">
        <v>56</v>
      </c>
      <c r="L605">
        <v>0</v>
      </c>
      <c r="M605" t="s">
        <v>73</v>
      </c>
      <c r="N605">
        <v>0</v>
      </c>
      <c r="O605" t="s">
        <v>58</v>
      </c>
      <c r="P605" t="s">
        <v>59</v>
      </c>
      <c r="Q605" t="s">
        <v>959</v>
      </c>
      <c r="R605" t="s">
        <v>1164</v>
      </c>
      <c r="S605" s="1">
        <v>44401</v>
      </c>
      <c r="T605" s="1">
        <v>44407</v>
      </c>
      <c r="U605">
        <v>37501</v>
      </c>
      <c r="V605" t="s">
        <v>61</v>
      </c>
      <c r="W605" t="s">
        <v>1165</v>
      </c>
      <c r="X605" s="1">
        <v>44440</v>
      </c>
      <c r="Y605" t="s">
        <v>100</v>
      </c>
      <c r="Z605">
        <v>137.76</v>
      </c>
      <c r="AA605">
        <v>16</v>
      </c>
      <c r="AB605">
        <v>8.5399999999999991</v>
      </c>
      <c r="AC605">
        <v>0</v>
      </c>
      <c r="AD605">
        <v>146.30000000000001</v>
      </c>
      <c r="AE605">
        <v>6208.12</v>
      </c>
      <c r="AF605">
        <v>7091</v>
      </c>
      <c r="AG605" t="s">
        <v>1158</v>
      </c>
      <c r="AH605" t="s">
        <v>65</v>
      </c>
      <c r="AI605" t="s">
        <v>65</v>
      </c>
      <c r="AJ605" t="s">
        <v>66</v>
      </c>
      <c r="AK605" t="s">
        <v>66</v>
      </c>
      <c r="AL605" t="s">
        <v>66</v>
      </c>
      <c r="AM605" s="2" t="str">
        <f>HYPERLINK("https://transparencia.cidesi.mx/comprobantes/2021/CQ2100719 /C24factura oxxo $ 146.30.pdf")</f>
        <v>https://transparencia.cidesi.mx/comprobantes/2021/CQ2100719 /C24factura oxxo $ 146.30.pdf</v>
      </c>
      <c r="AN605" t="str">
        <f>HYPERLINK("https://transparencia.cidesi.mx/comprobantes/2021/CQ2100719 /C24factura oxxo $ 146.30.pdf")</f>
        <v>https://transparencia.cidesi.mx/comprobantes/2021/CQ2100719 /C24factura oxxo $ 146.30.pdf</v>
      </c>
      <c r="AO605" t="str">
        <f>HYPERLINK("https://transparencia.cidesi.mx/comprobantes/2021/CQ2100719 /C24factura $ 146.30.xml")</f>
        <v>https://transparencia.cidesi.mx/comprobantes/2021/CQ2100719 /C24factura $ 146.30.xml</v>
      </c>
      <c r="AP605" t="s">
        <v>1167</v>
      </c>
      <c r="AQ605" t="s">
        <v>1168</v>
      </c>
      <c r="AR605" t="s">
        <v>1169</v>
      </c>
      <c r="AS605" t="s">
        <v>1170</v>
      </c>
      <c r="AT605" s="1">
        <v>44453</v>
      </c>
      <c r="AU605" t="s">
        <v>73</v>
      </c>
    </row>
    <row r="606" spans="1:47" x14ac:dyDescent="0.3">
      <c r="A606" t="s">
        <v>1151</v>
      </c>
      <c r="B606" t="s">
        <v>182</v>
      </c>
      <c r="C606" t="s">
        <v>183</v>
      </c>
      <c r="D606">
        <v>685</v>
      </c>
      <c r="E606" t="s">
        <v>1152</v>
      </c>
      <c r="F606" t="s">
        <v>1153</v>
      </c>
      <c r="G606" t="s">
        <v>1154</v>
      </c>
      <c r="H606" t="s">
        <v>1163</v>
      </c>
      <c r="I606" t="s">
        <v>54</v>
      </c>
      <c r="J606" t="s">
        <v>1164</v>
      </c>
      <c r="K606" t="s">
        <v>56</v>
      </c>
      <c r="L606">
        <v>0</v>
      </c>
      <c r="M606" t="s">
        <v>73</v>
      </c>
      <c r="N606">
        <v>0</v>
      </c>
      <c r="O606" t="s">
        <v>58</v>
      </c>
      <c r="P606" t="s">
        <v>59</v>
      </c>
      <c r="Q606" t="s">
        <v>959</v>
      </c>
      <c r="R606" t="s">
        <v>1164</v>
      </c>
      <c r="S606" s="1">
        <v>44401</v>
      </c>
      <c r="T606" s="1">
        <v>44407</v>
      </c>
      <c r="U606">
        <v>37501</v>
      </c>
      <c r="V606" t="s">
        <v>61</v>
      </c>
      <c r="W606" t="s">
        <v>1165</v>
      </c>
      <c r="X606" s="1">
        <v>44440</v>
      </c>
      <c r="Y606" t="s">
        <v>100</v>
      </c>
      <c r="Z606">
        <v>115.48</v>
      </c>
      <c r="AA606">
        <v>16</v>
      </c>
      <c r="AB606">
        <v>13.92</v>
      </c>
      <c r="AC606">
        <v>0</v>
      </c>
      <c r="AD606">
        <v>129.4</v>
      </c>
      <c r="AE606">
        <v>6208.12</v>
      </c>
      <c r="AF606">
        <v>7091</v>
      </c>
      <c r="AG606" t="s">
        <v>1158</v>
      </c>
      <c r="AH606" t="s">
        <v>65</v>
      </c>
      <c r="AI606" t="s">
        <v>65</v>
      </c>
      <c r="AJ606" t="s">
        <v>66</v>
      </c>
      <c r="AK606" t="s">
        <v>66</v>
      </c>
      <c r="AL606" t="s">
        <v>66</v>
      </c>
      <c r="AM606" s="2" t="str">
        <f>HYPERLINK("https://transparencia.cidesi.mx/comprobantes/2021/CQ2100719 /C25factura oxxo $ 129.40.pdf")</f>
        <v>https://transparencia.cidesi.mx/comprobantes/2021/CQ2100719 /C25factura oxxo $ 129.40.pdf</v>
      </c>
      <c r="AN606" t="str">
        <f>HYPERLINK("https://transparencia.cidesi.mx/comprobantes/2021/CQ2100719 /C25factura oxxo $ 129.40.pdf")</f>
        <v>https://transparencia.cidesi.mx/comprobantes/2021/CQ2100719 /C25factura oxxo $ 129.40.pdf</v>
      </c>
      <c r="AO606" t="str">
        <f>HYPERLINK("https://transparencia.cidesi.mx/comprobantes/2021/CQ2100719 /C25factura 4 129.40.xml")</f>
        <v>https://transparencia.cidesi.mx/comprobantes/2021/CQ2100719 /C25factura 4 129.40.xml</v>
      </c>
      <c r="AP606" t="s">
        <v>1167</v>
      </c>
      <c r="AQ606" t="s">
        <v>1168</v>
      </c>
      <c r="AR606" t="s">
        <v>1169</v>
      </c>
      <c r="AS606" t="s">
        <v>1170</v>
      </c>
      <c r="AT606" s="1">
        <v>44453</v>
      </c>
      <c r="AU606" t="s">
        <v>73</v>
      </c>
    </row>
    <row r="607" spans="1:47" x14ac:dyDescent="0.3">
      <c r="A607" t="s">
        <v>1151</v>
      </c>
      <c r="B607" t="s">
        <v>182</v>
      </c>
      <c r="C607" t="s">
        <v>183</v>
      </c>
      <c r="D607">
        <v>685</v>
      </c>
      <c r="E607" t="s">
        <v>1152</v>
      </c>
      <c r="F607" t="s">
        <v>1153</v>
      </c>
      <c r="G607" t="s">
        <v>1154</v>
      </c>
      <c r="H607" t="s">
        <v>1163</v>
      </c>
      <c r="I607" t="s">
        <v>54</v>
      </c>
      <c r="J607" t="s">
        <v>1164</v>
      </c>
      <c r="K607" t="s">
        <v>56</v>
      </c>
      <c r="L607">
        <v>0</v>
      </c>
      <c r="M607" t="s">
        <v>73</v>
      </c>
      <c r="N607">
        <v>0</v>
      </c>
      <c r="O607" t="s">
        <v>58</v>
      </c>
      <c r="P607" t="s">
        <v>59</v>
      </c>
      <c r="Q607" t="s">
        <v>959</v>
      </c>
      <c r="R607" t="s">
        <v>1164</v>
      </c>
      <c r="S607" s="1">
        <v>44401</v>
      </c>
      <c r="T607" s="1">
        <v>44407</v>
      </c>
      <c r="U607">
        <v>37501</v>
      </c>
      <c r="V607" t="s">
        <v>61</v>
      </c>
      <c r="W607" t="s">
        <v>1165</v>
      </c>
      <c r="X607" s="1">
        <v>44440</v>
      </c>
      <c r="Y607" t="s">
        <v>100</v>
      </c>
      <c r="Z607">
        <v>79.959999999999994</v>
      </c>
      <c r="AA607">
        <v>16</v>
      </c>
      <c r="AB607">
        <v>6.54</v>
      </c>
      <c r="AC607">
        <v>0</v>
      </c>
      <c r="AD607">
        <v>86.5</v>
      </c>
      <c r="AE607">
        <v>6208.12</v>
      </c>
      <c r="AF607">
        <v>7091</v>
      </c>
      <c r="AG607" t="s">
        <v>1158</v>
      </c>
      <c r="AH607" t="s">
        <v>65</v>
      </c>
      <c r="AI607" t="s">
        <v>65</v>
      </c>
      <c r="AJ607" t="s">
        <v>66</v>
      </c>
      <c r="AK607" t="s">
        <v>66</v>
      </c>
      <c r="AL607" t="s">
        <v>66</v>
      </c>
      <c r="AM607" s="2" t="str">
        <f>HYPERLINK("https://transparencia.cidesi.mx/comprobantes/2021/CQ2100719 /C26factura oxxo$ 86.50.pdf")</f>
        <v>https://transparencia.cidesi.mx/comprobantes/2021/CQ2100719 /C26factura oxxo$ 86.50.pdf</v>
      </c>
      <c r="AN607" t="str">
        <f>HYPERLINK("https://transparencia.cidesi.mx/comprobantes/2021/CQ2100719 /C26factura oxxo$ 86.50.pdf")</f>
        <v>https://transparencia.cidesi.mx/comprobantes/2021/CQ2100719 /C26factura oxxo$ 86.50.pdf</v>
      </c>
      <c r="AO607" t="str">
        <f>HYPERLINK("https://transparencia.cidesi.mx/comprobantes/2021/CQ2100719 /C26factura $ 86.50.xml")</f>
        <v>https://transparencia.cidesi.mx/comprobantes/2021/CQ2100719 /C26factura $ 86.50.xml</v>
      </c>
      <c r="AP607" t="s">
        <v>1167</v>
      </c>
      <c r="AQ607" t="s">
        <v>1168</v>
      </c>
      <c r="AR607" t="s">
        <v>1169</v>
      </c>
      <c r="AS607" t="s">
        <v>1170</v>
      </c>
      <c r="AT607" s="1">
        <v>44453</v>
      </c>
      <c r="AU607" t="s">
        <v>73</v>
      </c>
    </row>
    <row r="608" spans="1:47" x14ac:dyDescent="0.3">
      <c r="A608" t="s">
        <v>1151</v>
      </c>
      <c r="B608" t="s">
        <v>182</v>
      </c>
      <c r="C608" t="s">
        <v>183</v>
      </c>
      <c r="D608">
        <v>685</v>
      </c>
      <c r="E608" t="s">
        <v>1152</v>
      </c>
      <c r="F608" t="s">
        <v>1153</v>
      </c>
      <c r="G608" t="s">
        <v>1154</v>
      </c>
      <c r="H608" t="s">
        <v>1163</v>
      </c>
      <c r="I608" t="s">
        <v>54</v>
      </c>
      <c r="J608" t="s">
        <v>1164</v>
      </c>
      <c r="K608" t="s">
        <v>56</v>
      </c>
      <c r="L608">
        <v>0</v>
      </c>
      <c r="M608" t="s">
        <v>73</v>
      </c>
      <c r="N608">
        <v>0</v>
      </c>
      <c r="O608" t="s">
        <v>58</v>
      </c>
      <c r="P608" t="s">
        <v>59</v>
      </c>
      <c r="Q608" t="s">
        <v>959</v>
      </c>
      <c r="R608" t="s">
        <v>1164</v>
      </c>
      <c r="S608" s="1">
        <v>44401</v>
      </c>
      <c r="T608" s="1">
        <v>44407</v>
      </c>
      <c r="U608">
        <v>37501</v>
      </c>
      <c r="V608" t="s">
        <v>61</v>
      </c>
      <c r="W608" t="s">
        <v>1165</v>
      </c>
      <c r="X608" s="1">
        <v>44440</v>
      </c>
      <c r="Y608" t="s">
        <v>100</v>
      </c>
      <c r="Z608">
        <v>79.78</v>
      </c>
      <c r="AA608">
        <v>16</v>
      </c>
      <c r="AB608">
        <v>3.72</v>
      </c>
      <c r="AC608">
        <v>0</v>
      </c>
      <c r="AD608">
        <v>83.5</v>
      </c>
      <c r="AE608">
        <v>6208.12</v>
      </c>
      <c r="AF608">
        <v>7091</v>
      </c>
      <c r="AG608" t="s">
        <v>1158</v>
      </c>
      <c r="AH608" t="s">
        <v>65</v>
      </c>
      <c r="AI608" t="s">
        <v>65</v>
      </c>
      <c r="AJ608" t="s">
        <v>66</v>
      </c>
      <c r="AK608" t="s">
        <v>66</v>
      </c>
      <c r="AL608" t="s">
        <v>66</v>
      </c>
      <c r="AM608" s="2" t="str">
        <f>HYPERLINK("https://transparencia.cidesi.mx/comprobantes/2021/CQ2100719 /C27factura oxxo $ 83.50.pdf")</f>
        <v>https://transparencia.cidesi.mx/comprobantes/2021/CQ2100719 /C27factura oxxo $ 83.50.pdf</v>
      </c>
      <c r="AN608" t="str">
        <f>HYPERLINK("https://transparencia.cidesi.mx/comprobantes/2021/CQ2100719 /C27factura oxxo $ 83.50.pdf")</f>
        <v>https://transparencia.cidesi.mx/comprobantes/2021/CQ2100719 /C27factura oxxo $ 83.50.pdf</v>
      </c>
      <c r="AO608" t="str">
        <f>HYPERLINK("https://transparencia.cidesi.mx/comprobantes/2021/CQ2100719 /C27factura $ 83.50.xml")</f>
        <v>https://transparencia.cidesi.mx/comprobantes/2021/CQ2100719 /C27factura $ 83.50.xml</v>
      </c>
      <c r="AP608" t="s">
        <v>1167</v>
      </c>
      <c r="AQ608" t="s">
        <v>1168</v>
      </c>
      <c r="AR608" t="s">
        <v>1169</v>
      </c>
      <c r="AS608" t="s">
        <v>1170</v>
      </c>
      <c r="AT608" s="1">
        <v>44453</v>
      </c>
      <c r="AU608" t="s">
        <v>73</v>
      </c>
    </row>
    <row r="609" spans="1:47" x14ac:dyDescent="0.3">
      <c r="A609" t="s">
        <v>1151</v>
      </c>
      <c r="B609" t="s">
        <v>182</v>
      </c>
      <c r="C609" t="s">
        <v>183</v>
      </c>
      <c r="D609">
        <v>685</v>
      </c>
      <c r="E609" t="s">
        <v>1152</v>
      </c>
      <c r="F609" t="s">
        <v>1153</v>
      </c>
      <c r="G609" t="s">
        <v>1154</v>
      </c>
      <c r="H609" t="s">
        <v>1171</v>
      </c>
      <c r="I609" t="s">
        <v>54</v>
      </c>
      <c r="J609" t="s">
        <v>1172</v>
      </c>
      <c r="K609" t="s">
        <v>56</v>
      </c>
      <c r="L609">
        <v>0</v>
      </c>
      <c r="M609" t="s">
        <v>73</v>
      </c>
      <c r="N609">
        <v>0</v>
      </c>
      <c r="O609" t="s">
        <v>58</v>
      </c>
      <c r="P609" t="s">
        <v>59</v>
      </c>
      <c r="Q609" t="s">
        <v>959</v>
      </c>
      <c r="R609" t="s">
        <v>1172</v>
      </c>
      <c r="S609" s="1">
        <v>44408</v>
      </c>
      <c r="T609" s="1">
        <v>44414</v>
      </c>
      <c r="U609">
        <v>37501</v>
      </c>
      <c r="V609" t="s">
        <v>104</v>
      </c>
      <c r="W609" t="s">
        <v>1173</v>
      </c>
      <c r="X609" s="1">
        <v>44419</v>
      </c>
      <c r="Y609" t="s">
        <v>63</v>
      </c>
      <c r="Z609">
        <v>597.23</v>
      </c>
      <c r="AA609">
        <v>16</v>
      </c>
      <c r="AB609">
        <v>92.77</v>
      </c>
      <c r="AC609">
        <v>0</v>
      </c>
      <c r="AD609">
        <v>690</v>
      </c>
      <c r="AE609">
        <v>5897.35</v>
      </c>
      <c r="AF609">
        <v>7091</v>
      </c>
      <c r="AG609" t="s">
        <v>1166</v>
      </c>
      <c r="AH609" t="s">
        <v>65</v>
      </c>
      <c r="AI609" t="s">
        <v>65</v>
      </c>
      <c r="AJ609" t="s">
        <v>66</v>
      </c>
      <c r="AK609" t="s">
        <v>66</v>
      </c>
      <c r="AL609" t="s">
        <v>66</v>
      </c>
      <c r="AM609" s="2" t="str">
        <f>HYPERLINK("https://transparencia.cidesi.mx/comprobantes/2021/CQ2100629 /C1HOTEL $ 690.00.pdf")</f>
        <v>https://transparencia.cidesi.mx/comprobantes/2021/CQ2100629 /C1HOTEL $ 690.00.pdf</v>
      </c>
      <c r="AN609" t="str">
        <f>HYPERLINK("https://transparencia.cidesi.mx/comprobantes/2021/CQ2100629 /C1HOTEL $ 690.00.pdf")</f>
        <v>https://transparencia.cidesi.mx/comprobantes/2021/CQ2100629 /C1HOTEL $ 690.00.pdf</v>
      </c>
      <c r="AO609" t="str">
        <f>HYPERLINK("https://transparencia.cidesi.mx/comprobantes/2021/CQ2100629 /C1HOTEL $ 690.00.xml")</f>
        <v>https://transparencia.cidesi.mx/comprobantes/2021/CQ2100629 /C1HOTEL $ 690.00.xml</v>
      </c>
      <c r="AP609" t="s">
        <v>1174</v>
      </c>
      <c r="AQ609" t="s">
        <v>1175</v>
      </c>
      <c r="AR609" t="s">
        <v>1176</v>
      </c>
      <c r="AS609" t="s">
        <v>1177</v>
      </c>
      <c r="AT609" s="1">
        <v>44421</v>
      </c>
      <c r="AU609" s="1">
        <v>44425</v>
      </c>
    </row>
    <row r="610" spans="1:47" x14ac:dyDescent="0.3">
      <c r="A610" t="s">
        <v>1151</v>
      </c>
      <c r="B610" t="s">
        <v>182</v>
      </c>
      <c r="C610" t="s">
        <v>183</v>
      </c>
      <c r="D610">
        <v>685</v>
      </c>
      <c r="E610" t="s">
        <v>1152</v>
      </c>
      <c r="F610" t="s">
        <v>1153</v>
      </c>
      <c r="G610" t="s">
        <v>1154</v>
      </c>
      <c r="H610" t="s">
        <v>1171</v>
      </c>
      <c r="I610" t="s">
        <v>54</v>
      </c>
      <c r="J610" t="s">
        <v>1172</v>
      </c>
      <c r="K610" t="s">
        <v>56</v>
      </c>
      <c r="L610">
        <v>0</v>
      </c>
      <c r="M610" t="s">
        <v>73</v>
      </c>
      <c r="N610">
        <v>0</v>
      </c>
      <c r="O610" t="s">
        <v>58</v>
      </c>
      <c r="P610" t="s">
        <v>59</v>
      </c>
      <c r="Q610" t="s">
        <v>959</v>
      </c>
      <c r="R610" t="s">
        <v>1172</v>
      </c>
      <c r="S610" s="1">
        <v>44408</v>
      </c>
      <c r="T610" s="1">
        <v>44414</v>
      </c>
      <c r="U610">
        <v>37501</v>
      </c>
      <c r="V610" t="s">
        <v>104</v>
      </c>
      <c r="W610" t="s">
        <v>1173</v>
      </c>
      <c r="X610" s="1">
        <v>44419</v>
      </c>
      <c r="Y610" t="s">
        <v>63</v>
      </c>
      <c r="Z610">
        <v>761.95</v>
      </c>
      <c r="AA610">
        <v>16</v>
      </c>
      <c r="AB610">
        <v>58.05</v>
      </c>
      <c r="AC610">
        <v>0</v>
      </c>
      <c r="AD610">
        <v>820</v>
      </c>
      <c r="AE610">
        <v>5897.35</v>
      </c>
      <c r="AF610">
        <v>7091</v>
      </c>
      <c r="AG610" t="s">
        <v>1166</v>
      </c>
      <c r="AH610" t="s">
        <v>65</v>
      </c>
      <c r="AI610" t="s">
        <v>65</v>
      </c>
      <c r="AJ610" t="s">
        <v>66</v>
      </c>
      <c r="AK610" t="s">
        <v>66</v>
      </c>
      <c r="AL610" t="s">
        <v>66</v>
      </c>
      <c r="AM610" s="2" t="str">
        <f>HYPERLINK("https://transparencia.cidesi.mx/comprobantes/2021/CQ2100629 /C2HOTEL $ 820.00.pdf")</f>
        <v>https://transparencia.cidesi.mx/comprobantes/2021/CQ2100629 /C2HOTEL $ 820.00.pdf</v>
      </c>
      <c r="AN610" t="str">
        <f>HYPERLINK("https://transparencia.cidesi.mx/comprobantes/2021/CQ2100629 /C2HOTEL $ 820.00.pdf")</f>
        <v>https://transparencia.cidesi.mx/comprobantes/2021/CQ2100629 /C2HOTEL $ 820.00.pdf</v>
      </c>
      <c r="AO610" t="str">
        <f>HYPERLINK("https://transparencia.cidesi.mx/comprobantes/2021/CQ2100629 /C2HOTEL $ 820.00.xml")</f>
        <v>https://transparencia.cidesi.mx/comprobantes/2021/CQ2100629 /C2HOTEL $ 820.00.xml</v>
      </c>
      <c r="AP610" t="s">
        <v>1174</v>
      </c>
      <c r="AQ610" t="s">
        <v>1175</v>
      </c>
      <c r="AR610" t="s">
        <v>1176</v>
      </c>
      <c r="AS610" t="s">
        <v>1177</v>
      </c>
      <c r="AT610" s="1">
        <v>44421</v>
      </c>
      <c r="AU610" s="1">
        <v>44425</v>
      </c>
    </row>
    <row r="611" spans="1:47" x14ac:dyDescent="0.3">
      <c r="A611" t="s">
        <v>1151</v>
      </c>
      <c r="B611" t="s">
        <v>182</v>
      </c>
      <c r="C611" t="s">
        <v>183</v>
      </c>
      <c r="D611">
        <v>685</v>
      </c>
      <c r="E611" t="s">
        <v>1152</v>
      </c>
      <c r="F611" t="s">
        <v>1153</v>
      </c>
      <c r="G611" t="s">
        <v>1154</v>
      </c>
      <c r="H611" t="s">
        <v>1171</v>
      </c>
      <c r="I611" t="s">
        <v>54</v>
      </c>
      <c r="J611" t="s">
        <v>1172</v>
      </c>
      <c r="K611" t="s">
        <v>56</v>
      </c>
      <c r="L611">
        <v>0</v>
      </c>
      <c r="M611" t="s">
        <v>73</v>
      </c>
      <c r="N611">
        <v>0</v>
      </c>
      <c r="O611" t="s">
        <v>58</v>
      </c>
      <c r="P611" t="s">
        <v>59</v>
      </c>
      <c r="Q611" t="s">
        <v>959</v>
      </c>
      <c r="R611" t="s">
        <v>1172</v>
      </c>
      <c r="S611" s="1">
        <v>44408</v>
      </c>
      <c r="T611" s="1">
        <v>44414</v>
      </c>
      <c r="U611">
        <v>37501</v>
      </c>
      <c r="V611" t="s">
        <v>104</v>
      </c>
      <c r="W611" t="s">
        <v>1173</v>
      </c>
      <c r="X611" s="1">
        <v>44419</v>
      </c>
      <c r="Y611" t="s">
        <v>63</v>
      </c>
      <c r="Z611">
        <v>743.67</v>
      </c>
      <c r="AA611">
        <v>16</v>
      </c>
      <c r="AB611">
        <v>116.33</v>
      </c>
      <c r="AC611">
        <v>0</v>
      </c>
      <c r="AD611">
        <v>860</v>
      </c>
      <c r="AE611">
        <v>5897.35</v>
      </c>
      <c r="AF611">
        <v>7091</v>
      </c>
      <c r="AG611" t="s">
        <v>1166</v>
      </c>
      <c r="AH611" t="s">
        <v>65</v>
      </c>
      <c r="AI611" t="s">
        <v>65</v>
      </c>
      <c r="AJ611" t="s">
        <v>66</v>
      </c>
      <c r="AK611" t="s">
        <v>66</v>
      </c>
      <c r="AL611" t="s">
        <v>66</v>
      </c>
      <c r="AM611" s="2" t="str">
        <f>HYPERLINK("https://transparencia.cidesi.mx/comprobantes/2021/CQ2100629 /C3HOTEL $ 860.00.pdf")</f>
        <v>https://transparencia.cidesi.mx/comprobantes/2021/CQ2100629 /C3HOTEL $ 860.00.pdf</v>
      </c>
      <c r="AN611" t="str">
        <f>HYPERLINK("https://transparencia.cidesi.mx/comprobantes/2021/CQ2100629 /C3HOTEL $ 860.00.pdf")</f>
        <v>https://transparencia.cidesi.mx/comprobantes/2021/CQ2100629 /C3HOTEL $ 860.00.pdf</v>
      </c>
      <c r="AO611" t="str">
        <f>HYPERLINK("https://transparencia.cidesi.mx/comprobantes/2021/CQ2100629 /C3HOTEL $ 860.00.xml")</f>
        <v>https://transparencia.cidesi.mx/comprobantes/2021/CQ2100629 /C3HOTEL $ 860.00.xml</v>
      </c>
      <c r="AP611" t="s">
        <v>1174</v>
      </c>
      <c r="AQ611" t="s">
        <v>1175</v>
      </c>
      <c r="AR611" t="s">
        <v>1176</v>
      </c>
      <c r="AS611" t="s">
        <v>1177</v>
      </c>
      <c r="AT611" s="1">
        <v>44421</v>
      </c>
      <c r="AU611" s="1">
        <v>44425</v>
      </c>
    </row>
    <row r="612" spans="1:47" x14ac:dyDescent="0.3">
      <c r="A612" t="s">
        <v>1151</v>
      </c>
      <c r="B612" t="s">
        <v>182</v>
      </c>
      <c r="C612" t="s">
        <v>183</v>
      </c>
      <c r="D612">
        <v>685</v>
      </c>
      <c r="E612" t="s">
        <v>1152</v>
      </c>
      <c r="F612" t="s">
        <v>1153</v>
      </c>
      <c r="G612" t="s">
        <v>1154</v>
      </c>
      <c r="H612" t="s">
        <v>1171</v>
      </c>
      <c r="I612" t="s">
        <v>54</v>
      </c>
      <c r="J612" t="s">
        <v>1172</v>
      </c>
      <c r="K612" t="s">
        <v>56</v>
      </c>
      <c r="L612">
        <v>0</v>
      </c>
      <c r="M612" t="s">
        <v>73</v>
      </c>
      <c r="N612">
        <v>0</v>
      </c>
      <c r="O612" t="s">
        <v>58</v>
      </c>
      <c r="P612" t="s">
        <v>59</v>
      </c>
      <c r="Q612" t="s">
        <v>959</v>
      </c>
      <c r="R612" t="s">
        <v>1172</v>
      </c>
      <c r="S612" s="1">
        <v>44408</v>
      </c>
      <c r="T612" s="1">
        <v>44414</v>
      </c>
      <c r="U612">
        <v>37501</v>
      </c>
      <c r="V612" t="s">
        <v>61</v>
      </c>
      <c r="W612" t="s">
        <v>1173</v>
      </c>
      <c r="X612" s="1">
        <v>44419</v>
      </c>
      <c r="Y612" t="s">
        <v>63</v>
      </c>
      <c r="Z612">
        <v>413.79</v>
      </c>
      <c r="AA612">
        <v>16</v>
      </c>
      <c r="AB612">
        <v>66.209999999999994</v>
      </c>
      <c r="AC612">
        <v>0</v>
      </c>
      <c r="AD612">
        <v>480</v>
      </c>
      <c r="AE612">
        <v>5897.35</v>
      </c>
      <c r="AF612">
        <v>7091</v>
      </c>
      <c r="AG612" t="s">
        <v>1158</v>
      </c>
      <c r="AH612" t="s">
        <v>65</v>
      </c>
      <c r="AI612" t="s">
        <v>65</v>
      </c>
      <c r="AJ612" t="s">
        <v>66</v>
      </c>
      <c r="AK612" t="s">
        <v>66</v>
      </c>
      <c r="AL612" t="s">
        <v>66</v>
      </c>
      <c r="AM612" s="2" t="str">
        <f>HYPERLINK("https://transparencia.cidesi.mx/comprobantes/2021/CQ2100629 /C4factura $ 480.00.pdf")</f>
        <v>https://transparencia.cidesi.mx/comprobantes/2021/CQ2100629 /C4factura $ 480.00.pdf</v>
      </c>
      <c r="AN612" t="str">
        <f>HYPERLINK("https://transparencia.cidesi.mx/comprobantes/2021/CQ2100629 /C4factura $ 480.00.pdf")</f>
        <v>https://transparencia.cidesi.mx/comprobantes/2021/CQ2100629 /C4factura $ 480.00.pdf</v>
      </c>
      <c r="AO612" t="str">
        <f>HYPERLINK("https://transparencia.cidesi.mx/comprobantes/2021/CQ2100629 /C4factura $ 480.00.xml")</f>
        <v>https://transparencia.cidesi.mx/comprobantes/2021/CQ2100629 /C4factura $ 480.00.xml</v>
      </c>
      <c r="AP612" t="s">
        <v>1174</v>
      </c>
      <c r="AQ612" t="s">
        <v>1175</v>
      </c>
      <c r="AR612" t="s">
        <v>1176</v>
      </c>
      <c r="AS612" t="s">
        <v>1177</v>
      </c>
      <c r="AT612" s="1">
        <v>44421</v>
      </c>
      <c r="AU612" s="1">
        <v>44425</v>
      </c>
    </row>
    <row r="613" spans="1:47" x14ac:dyDescent="0.3">
      <c r="A613" t="s">
        <v>1151</v>
      </c>
      <c r="B613" t="s">
        <v>182</v>
      </c>
      <c r="C613" t="s">
        <v>183</v>
      </c>
      <c r="D613">
        <v>685</v>
      </c>
      <c r="E613" t="s">
        <v>1152</v>
      </c>
      <c r="F613" t="s">
        <v>1153</v>
      </c>
      <c r="G613" t="s">
        <v>1154</v>
      </c>
      <c r="H613" t="s">
        <v>1171</v>
      </c>
      <c r="I613" t="s">
        <v>54</v>
      </c>
      <c r="J613" t="s">
        <v>1172</v>
      </c>
      <c r="K613" t="s">
        <v>56</v>
      </c>
      <c r="L613">
        <v>0</v>
      </c>
      <c r="M613" t="s">
        <v>73</v>
      </c>
      <c r="N613">
        <v>0</v>
      </c>
      <c r="O613" t="s">
        <v>58</v>
      </c>
      <c r="P613" t="s">
        <v>59</v>
      </c>
      <c r="Q613" t="s">
        <v>959</v>
      </c>
      <c r="R613" t="s">
        <v>1172</v>
      </c>
      <c r="S613" s="1">
        <v>44408</v>
      </c>
      <c r="T613" s="1">
        <v>44414</v>
      </c>
      <c r="U613">
        <v>37501</v>
      </c>
      <c r="V613" t="s">
        <v>61</v>
      </c>
      <c r="W613" t="s">
        <v>1173</v>
      </c>
      <c r="X613" s="1">
        <v>44419</v>
      </c>
      <c r="Y613" t="s">
        <v>63</v>
      </c>
      <c r="Z613">
        <v>425.93</v>
      </c>
      <c r="AA613">
        <v>16</v>
      </c>
      <c r="AB613">
        <v>34.07</v>
      </c>
      <c r="AC613">
        <v>0</v>
      </c>
      <c r="AD613">
        <v>460</v>
      </c>
      <c r="AE613">
        <v>5897.35</v>
      </c>
      <c r="AF613">
        <v>7091</v>
      </c>
      <c r="AG613" t="s">
        <v>1158</v>
      </c>
      <c r="AH613" t="s">
        <v>65</v>
      </c>
      <c r="AI613" t="s">
        <v>65</v>
      </c>
      <c r="AJ613" t="s">
        <v>66</v>
      </c>
      <c r="AK613" t="s">
        <v>66</v>
      </c>
      <c r="AL613" t="s">
        <v>66</v>
      </c>
      <c r="AM613" s="2" t="str">
        <f>HYPERLINK("https://transparencia.cidesi.mx/comprobantes/2021/CQ2100629 /C5facturas $ 460.00.pdf")</f>
        <v>https://transparencia.cidesi.mx/comprobantes/2021/CQ2100629 /C5facturas $ 460.00.pdf</v>
      </c>
      <c r="AN613" t="str">
        <f>HYPERLINK("https://transparencia.cidesi.mx/comprobantes/2021/CQ2100629 /C5facturas $ 460.00.pdf")</f>
        <v>https://transparencia.cidesi.mx/comprobantes/2021/CQ2100629 /C5facturas $ 460.00.pdf</v>
      </c>
      <c r="AO613" t="str">
        <f>HYPERLINK("https://transparencia.cidesi.mx/comprobantes/2021/CQ2100629 /C5factura $ 460.00.xml")</f>
        <v>https://transparencia.cidesi.mx/comprobantes/2021/CQ2100629 /C5factura $ 460.00.xml</v>
      </c>
      <c r="AP613" t="s">
        <v>1174</v>
      </c>
      <c r="AQ613" t="s">
        <v>1175</v>
      </c>
      <c r="AR613" t="s">
        <v>1176</v>
      </c>
      <c r="AS613" t="s">
        <v>1177</v>
      </c>
      <c r="AT613" s="1">
        <v>44421</v>
      </c>
      <c r="AU613" s="1">
        <v>44425</v>
      </c>
    </row>
    <row r="614" spans="1:47" x14ac:dyDescent="0.3">
      <c r="A614" t="s">
        <v>1151</v>
      </c>
      <c r="B614" t="s">
        <v>182</v>
      </c>
      <c r="C614" t="s">
        <v>183</v>
      </c>
      <c r="D614">
        <v>685</v>
      </c>
      <c r="E614" t="s">
        <v>1152</v>
      </c>
      <c r="F614" t="s">
        <v>1153</v>
      </c>
      <c r="G614" t="s">
        <v>1154</v>
      </c>
      <c r="H614" t="s">
        <v>1171</v>
      </c>
      <c r="I614" t="s">
        <v>54</v>
      </c>
      <c r="J614" t="s">
        <v>1172</v>
      </c>
      <c r="K614" t="s">
        <v>56</v>
      </c>
      <c r="L614">
        <v>0</v>
      </c>
      <c r="M614" t="s">
        <v>73</v>
      </c>
      <c r="N614">
        <v>0</v>
      </c>
      <c r="O614" t="s">
        <v>58</v>
      </c>
      <c r="P614" t="s">
        <v>59</v>
      </c>
      <c r="Q614" t="s">
        <v>959</v>
      </c>
      <c r="R614" t="s">
        <v>1172</v>
      </c>
      <c r="S614" s="1">
        <v>44408</v>
      </c>
      <c r="T614" s="1">
        <v>44414</v>
      </c>
      <c r="U614">
        <v>37501</v>
      </c>
      <c r="V614" t="s">
        <v>61</v>
      </c>
      <c r="W614" t="s">
        <v>1173</v>
      </c>
      <c r="X614" s="1">
        <v>44419</v>
      </c>
      <c r="Y614" t="s">
        <v>63</v>
      </c>
      <c r="Z614">
        <v>277.77999999999997</v>
      </c>
      <c r="AA614">
        <v>16</v>
      </c>
      <c r="AB614">
        <v>22.22</v>
      </c>
      <c r="AC614">
        <v>0</v>
      </c>
      <c r="AD614">
        <v>300</v>
      </c>
      <c r="AE614">
        <v>5897.35</v>
      </c>
      <c r="AF614">
        <v>7091</v>
      </c>
      <c r="AG614" t="s">
        <v>1158</v>
      </c>
      <c r="AH614" t="s">
        <v>65</v>
      </c>
      <c r="AI614" t="s">
        <v>65</v>
      </c>
      <c r="AJ614" t="s">
        <v>66</v>
      </c>
      <c r="AK614" t="s">
        <v>66</v>
      </c>
      <c r="AL614" t="s">
        <v>66</v>
      </c>
      <c r="AM614" s="2" t="str">
        <f>HYPERLINK("https://transparencia.cidesi.mx/comprobantes/2021/CQ2100629 /C6FACTURA $ 300.00.pdf")</f>
        <v>https://transparencia.cidesi.mx/comprobantes/2021/CQ2100629 /C6FACTURA $ 300.00.pdf</v>
      </c>
      <c r="AN614" t="str">
        <f>HYPERLINK("https://transparencia.cidesi.mx/comprobantes/2021/CQ2100629 /C6FACTURA $ 300.00.pdf")</f>
        <v>https://transparencia.cidesi.mx/comprobantes/2021/CQ2100629 /C6FACTURA $ 300.00.pdf</v>
      </c>
      <c r="AO614" t="str">
        <f>HYPERLINK("https://transparencia.cidesi.mx/comprobantes/2021/CQ2100629 /C6FACTURA $ 300.00.xml")</f>
        <v>https://transparencia.cidesi.mx/comprobantes/2021/CQ2100629 /C6FACTURA $ 300.00.xml</v>
      </c>
      <c r="AP614" t="s">
        <v>1174</v>
      </c>
      <c r="AQ614" t="s">
        <v>1175</v>
      </c>
      <c r="AR614" t="s">
        <v>1176</v>
      </c>
      <c r="AS614" t="s">
        <v>1177</v>
      </c>
      <c r="AT614" s="1">
        <v>44421</v>
      </c>
      <c r="AU614" s="1">
        <v>44425</v>
      </c>
    </row>
    <row r="615" spans="1:47" x14ac:dyDescent="0.3">
      <c r="A615" t="s">
        <v>1151</v>
      </c>
      <c r="B615" t="s">
        <v>182</v>
      </c>
      <c r="C615" t="s">
        <v>183</v>
      </c>
      <c r="D615">
        <v>685</v>
      </c>
      <c r="E615" t="s">
        <v>1152</v>
      </c>
      <c r="F615" t="s">
        <v>1153</v>
      </c>
      <c r="G615" t="s">
        <v>1154</v>
      </c>
      <c r="H615" t="s">
        <v>1171</v>
      </c>
      <c r="I615" t="s">
        <v>54</v>
      </c>
      <c r="J615" t="s">
        <v>1172</v>
      </c>
      <c r="K615" t="s">
        <v>56</v>
      </c>
      <c r="L615">
        <v>0</v>
      </c>
      <c r="M615" t="s">
        <v>73</v>
      </c>
      <c r="N615">
        <v>0</v>
      </c>
      <c r="O615" t="s">
        <v>58</v>
      </c>
      <c r="P615" t="s">
        <v>59</v>
      </c>
      <c r="Q615" t="s">
        <v>959</v>
      </c>
      <c r="R615" t="s">
        <v>1172</v>
      </c>
      <c r="S615" s="1">
        <v>44408</v>
      </c>
      <c r="T615" s="1">
        <v>44414</v>
      </c>
      <c r="U615">
        <v>37501</v>
      </c>
      <c r="V615" t="s">
        <v>61</v>
      </c>
      <c r="W615" t="s">
        <v>1173</v>
      </c>
      <c r="X615" s="1">
        <v>44419</v>
      </c>
      <c r="Y615" t="s">
        <v>63</v>
      </c>
      <c r="Z615">
        <v>245.37</v>
      </c>
      <c r="AA615">
        <v>16</v>
      </c>
      <c r="AB615">
        <v>19.63</v>
      </c>
      <c r="AC615">
        <v>26.5</v>
      </c>
      <c r="AD615">
        <v>291.5</v>
      </c>
      <c r="AE615">
        <v>5897.35</v>
      </c>
      <c r="AF615">
        <v>7091</v>
      </c>
      <c r="AG615" t="s">
        <v>1158</v>
      </c>
      <c r="AH615" t="s">
        <v>65</v>
      </c>
      <c r="AI615" t="s">
        <v>65</v>
      </c>
      <c r="AJ615" t="s">
        <v>66</v>
      </c>
      <c r="AK615" t="s">
        <v>66</v>
      </c>
      <c r="AL615" t="s">
        <v>66</v>
      </c>
      <c r="AM615" s="2" t="str">
        <f>HYPERLINK("https://transparencia.cidesi.mx/comprobantes/2021/CQ2100629 /C7Factura$ 265.00.pdf")</f>
        <v>https://transparencia.cidesi.mx/comprobantes/2021/CQ2100629 /C7Factura$ 265.00.pdf</v>
      </c>
      <c r="AN615" t="str">
        <f>HYPERLINK("https://transparencia.cidesi.mx/comprobantes/2021/CQ2100629 /C7Factura$ 265.00.pdf")</f>
        <v>https://transparencia.cidesi.mx/comprobantes/2021/CQ2100629 /C7Factura$ 265.00.pdf</v>
      </c>
      <c r="AO615" t="str">
        <f>HYPERLINK("https://transparencia.cidesi.mx/comprobantes/2021/CQ2100629 /C7factura $ 265.00.xml")</f>
        <v>https://transparencia.cidesi.mx/comprobantes/2021/CQ2100629 /C7factura $ 265.00.xml</v>
      </c>
      <c r="AP615" t="s">
        <v>1174</v>
      </c>
      <c r="AQ615" t="s">
        <v>1175</v>
      </c>
      <c r="AR615" t="s">
        <v>1176</v>
      </c>
      <c r="AS615" t="s">
        <v>1177</v>
      </c>
      <c r="AT615" s="1">
        <v>44421</v>
      </c>
      <c r="AU615" s="1">
        <v>44425</v>
      </c>
    </row>
    <row r="616" spans="1:47" x14ac:dyDescent="0.3">
      <c r="A616" t="s">
        <v>1151</v>
      </c>
      <c r="B616" t="s">
        <v>182</v>
      </c>
      <c r="C616" t="s">
        <v>183</v>
      </c>
      <c r="D616">
        <v>685</v>
      </c>
      <c r="E616" t="s">
        <v>1152</v>
      </c>
      <c r="F616" t="s">
        <v>1153</v>
      </c>
      <c r="G616" t="s">
        <v>1154</v>
      </c>
      <c r="H616" t="s">
        <v>1171</v>
      </c>
      <c r="I616" t="s">
        <v>54</v>
      </c>
      <c r="J616" t="s">
        <v>1172</v>
      </c>
      <c r="K616" t="s">
        <v>56</v>
      </c>
      <c r="L616">
        <v>0</v>
      </c>
      <c r="M616" t="s">
        <v>73</v>
      </c>
      <c r="N616">
        <v>0</v>
      </c>
      <c r="O616" t="s">
        <v>58</v>
      </c>
      <c r="P616" t="s">
        <v>59</v>
      </c>
      <c r="Q616" t="s">
        <v>959</v>
      </c>
      <c r="R616" t="s">
        <v>1172</v>
      </c>
      <c r="S616" s="1">
        <v>44408</v>
      </c>
      <c r="T616" s="1">
        <v>44414</v>
      </c>
      <c r="U616">
        <v>37501</v>
      </c>
      <c r="V616" t="s">
        <v>61</v>
      </c>
      <c r="W616" t="s">
        <v>1173</v>
      </c>
      <c r="X616" s="1">
        <v>44419</v>
      </c>
      <c r="Y616" t="s">
        <v>63</v>
      </c>
      <c r="Z616">
        <v>316.72000000000003</v>
      </c>
      <c r="AA616">
        <v>16</v>
      </c>
      <c r="AB616">
        <v>50.68</v>
      </c>
      <c r="AC616">
        <v>0</v>
      </c>
      <c r="AD616">
        <v>367.4</v>
      </c>
      <c r="AE616">
        <v>5897.35</v>
      </c>
      <c r="AF616">
        <v>7091</v>
      </c>
      <c r="AG616" t="s">
        <v>1158</v>
      </c>
      <c r="AH616" t="s">
        <v>65</v>
      </c>
      <c r="AI616" t="s">
        <v>65</v>
      </c>
      <c r="AJ616" t="s">
        <v>66</v>
      </c>
      <c r="AK616" t="s">
        <v>66</v>
      </c>
      <c r="AL616" t="s">
        <v>66</v>
      </c>
      <c r="AM616" s="2" t="str">
        <f>HYPERLINK("https://transparencia.cidesi.mx/comprobantes/2021/CQ2100629 /C8FACTURA $ 367.40.pdf")</f>
        <v>https://transparencia.cidesi.mx/comprobantes/2021/CQ2100629 /C8FACTURA $ 367.40.pdf</v>
      </c>
      <c r="AN616" t="str">
        <f>HYPERLINK("https://transparencia.cidesi.mx/comprobantes/2021/CQ2100629 /C8FACTURA $ 367.40.pdf")</f>
        <v>https://transparencia.cidesi.mx/comprobantes/2021/CQ2100629 /C8FACTURA $ 367.40.pdf</v>
      </c>
      <c r="AO616" t="str">
        <f>HYPERLINK("https://transparencia.cidesi.mx/comprobantes/2021/CQ2100629 /C8FACTURA $ 367.40.xml")</f>
        <v>https://transparencia.cidesi.mx/comprobantes/2021/CQ2100629 /C8FACTURA $ 367.40.xml</v>
      </c>
      <c r="AP616" t="s">
        <v>1174</v>
      </c>
      <c r="AQ616" t="s">
        <v>1175</v>
      </c>
      <c r="AR616" t="s">
        <v>1176</v>
      </c>
      <c r="AS616" t="s">
        <v>1177</v>
      </c>
      <c r="AT616" s="1">
        <v>44421</v>
      </c>
      <c r="AU616" s="1">
        <v>44425</v>
      </c>
    </row>
    <row r="617" spans="1:47" x14ac:dyDescent="0.3">
      <c r="A617" t="s">
        <v>1151</v>
      </c>
      <c r="B617" t="s">
        <v>182</v>
      </c>
      <c r="C617" t="s">
        <v>183</v>
      </c>
      <c r="D617">
        <v>685</v>
      </c>
      <c r="E617" t="s">
        <v>1152</v>
      </c>
      <c r="F617" t="s">
        <v>1153</v>
      </c>
      <c r="G617" t="s">
        <v>1154</v>
      </c>
      <c r="H617" t="s">
        <v>1171</v>
      </c>
      <c r="I617" t="s">
        <v>54</v>
      </c>
      <c r="J617" t="s">
        <v>1172</v>
      </c>
      <c r="K617" t="s">
        <v>56</v>
      </c>
      <c r="L617">
        <v>0</v>
      </c>
      <c r="M617" t="s">
        <v>73</v>
      </c>
      <c r="N617">
        <v>0</v>
      </c>
      <c r="O617" t="s">
        <v>58</v>
      </c>
      <c r="P617" t="s">
        <v>59</v>
      </c>
      <c r="Q617" t="s">
        <v>959</v>
      </c>
      <c r="R617" t="s">
        <v>1172</v>
      </c>
      <c r="S617" s="1">
        <v>44408</v>
      </c>
      <c r="T617" s="1">
        <v>44414</v>
      </c>
      <c r="U617">
        <v>37501</v>
      </c>
      <c r="V617" t="s">
        <v>61</v>
      </c>
      <c r="W617" t="s">
        <v>1173</v>
      </c>
      <c r="X617" s="1">
        <v>44419</v>
      </c>
      <c r="Y617" t="s">
        <v>63</v>
      </c>
      <c r="Z617">
        <v>287.04000000000002</v>
      </c>
      <c r="AA617">
        <v>16</v>
      </c>
      <c r="AB617">
        <v>22.96</v>
      </c>
      <c r="AC617">
        <v>31</v>
      </c>
      <c r="AD617">
        <v>341</v>
      </c>
      <c r="AE617">
        <v>5897.35</v>
      </c>
      <c r="AF617">
        <v>7091</v>
      </c>
      <c r="AG617" t="s">
        <v>1158</v>
      </c>
      <c r="AH617" t="s">
        <v>65</v>
      </c>
      <c r="AI617" t="s">
        <v>65</v>
      </c>
      <c r="AJ617" t="s">
        <v>66</v>
      </c>
      <c r="AK617" t="s">
        <v>66</v>
      </c>
      <c r="AL617" t="s">
        <v>66</v>
      </c>
      <c r="AM617" s="2" t="str">
        <f>HYPERLINK("https://transparencia.cidesi.mx/comprobantes/2021/CQ2100629 /C9FACTURA $ 310.0.pdf")</f>
        <v>https://transparencia.cidesi.mx/comprobantes/2021/CQ2100629 /C9FACTURA $ 310.0.pdf</v>
      </c>
      <c r="AN617" t="str">
        <f>HYPERLINK("https://transparencia.cidesi.mx/comprobantes/2021/CQ2100629 /C9FACTURA $ 310.0.pdf")</f>
        <v>https://transparencia.cidesi.mx/comprobantes/2021/CQ2100629 /C9FACTURA $ 310.0.pdf</v>
      </c>
      <c r="AO617" t="str">
        <f>HYPERLINK("https://transparencia.cidesi.mx/comprobantes/2021/CQ2100629 /C9FACTURA $ 310.00.xml")</f>
        <v>https://transparencia.cidesi.mx/comprobantes/2021/CQ2100629 /C9FACTURA $ 310.00.xml</v>
      </c>
      <c r="AP617" t="s">
        <v>1174</v>
      </c>
      <c r="AQ617" t="s">
        <v>1175</v>
      </c>
      <c r="AR617" t="s">
        <v>1176</v>
      </c>
      <c r="AS617" t="s">
        <v>1177</v>
      </c>
      <c r="AT617" s="1">
        <v>44421</v>
      </c>
      <c r="AU617" s="1">
        <v>44425</v>
      </c>
    </row>
    <row r="618" spans="1:47" x14ac:dyDescent="0.3">
      <c r="A618" t="s">
        <v>1151</v>
      </c>
      <c r="B618" t="s">
        <v>182</v>
      </c>
      <c r="C618" t="s">
        <v>183</v>
      </c>
      <c r="D618">
        <v>685</v>
      </c>
      <c r="E618" t="s">
        <v>1152</v>
      </c>
      <c r="F618" t="s">
        <v>1153</v>
      </c>
      <c r="G618" t="s">
        <v>1154</v>
      </c>
      <c r="H618" t="s">
        <v>1171</v>
      </c>
      <c r="I618" t="s">
        <v>54</v>
      </c>
      <c r="J618" t="s">
        <v>1172</v>
      </c>
      <c r="K618" t="s">
        <v>56</v>
      </c>
      <c r="L618">
        <v>0</v>
      </c>
      <c r="M618" t="s">
        <v>73</v>
      </c>
      <c r="N618">
        <v>0</v>
      </c>
      <c r="O618" t="s">
        <v>58</v>
      </c>
      <c r="P618" t="s">
        <v>59</v>
      </c>
      <c r="Q618" t="s">
        <v>959</v>
      </c>
      <c r="R618" t="s">
        <v>1172</v>
      </c>
      <c r="S618" s="1">
        <v>44408</v>
      </c>
      <c r="T618" s="1">
        <v>44414</v>
      </c>
      <c r="U618">
        <v>37501</v>
      </c>
      <c r="V618" t="s">
        <v>61</v>
      </c>
      <c r="W618" t="s">
        <v>1173</v>
      </c>
      <c r="X618" s="1">
        <v>44419</v>
      </c>
      <c r="Y618" t="s">
        <v>63</v>
      </c>
      <c r="Z618">
        <v>265.08999999999997</v>
      </c>
      <c r="AA618">
        <v>16</v>
      </c>
      <c r="AB618">
        <v>42.41</v>
      </c>
      <c r="AC618">
        <v>30.75</v>
      </c>
      <c r="AD618">
        <v>338.25</v>
      </c>
      <c r="AE618">
        <v>5897.35</v>
      </c>
      <c r="AF618">
        <v>7091</v>
      </c>
      <c r="AG618" t="s">
        <v>1158</v>
      </c>
      <c r="AH618" t="s">
        <v>65</v>
      </c>
      <c r="AI618" t="s">
        <v>65</v>
      </c>
      <c r="AJ618" t="s">
        <v>66</v>
      </c>
      <c r="AK618" t="s">
        <v>66</v>
      </c>
      <c r="AL618" t="s">
        <v>66</v>
      </c>
      <c r="AM618" s="2" t="str">
        <f>HYPERLINK("https://transparencia.cidesi.mx/comprobantes/2021/CQ2100629 /C10factura$ 307.50.pdf")</f>
        <v>https://transparencia.cidesi.mx/comprobantes/2021/CQ2100629 /C10factura$ 307.50.pdf</v>
      </c>
      <c r="AN618" t="str">
        <f>HYPERLINK("https://transparencia.cidesi.mx/comprobantes/2021/CQ2100629 /C10factura$ 307.50.pdf")</f>
        <v>https://transparencia.cidesi.mx/comprobantes/2021/CQ2100629 /C10factura$ 307.50.pdf</v>
      </c>
      <c r="AO618" t="str">
        <f>HYPERLINK("https://transparencia.cidesi.mx/comprobantes/2021/CQ2100629 /C10factura $ 307.50.xml")</f>
        <v>https://transparencia.cidesi.mx/comprobantes/2021/CQ2100629 /C10factura $ 307.50.xml</v>
      </c>
      <c r="AP618" t="s">
        <v>1174</v>
      </c>
      <c r="AQ618" t="s">
        <v>1175</v>
      </c>
      <c r="AR618" t="s">
        <v>1176</v>
      </c>
      <c r="AS618" t="s">
        <v>1177</v>
      </c>
      <c r="AT618" s="1">
        <v>44421</v>
      </c>
      <c r="AU618" s="1">
        <v>44425</v>
      </c>
    </row>
    <row r="619" spans="1:47" x14ac:dyDescent="0.3">
      <c r="A619" t="s">
        <v>1151</v>
      </c>
      <c r="B619" t="s">
        <v>182</v>
      </c>
      <c r="C619" t="s">
        <v>183</v>
      </c>
      <c r="D619">
        <v>685</v>
      </c>
      <c r="E619" t="s">
        <v>1152</v>
      </c>
      <c r="F619" t="s">
        <v>1153</v>
      </c>
      <c r="G619" t="s">
        <v>1154</v>
      </c>
      <c r="H619" t="s">
        <v>1171</v>
      </c>
      <c r="I619" t="s">
        <v>54</v>
      </c>
      <c r="J619" t="s">
        <v>1172</v>
      </c>
      <c r="K619" t="s">
        <v>56</v>
      </c>
      <c r="L619">
        <v>0</v>
      </c>
      <c r="M619" t="s">
        <v>73</v>
      </c>
      <c r="N619">
        <v>0</v>
      </c>
      <c r="O619" t="s">
        <v>58</v>
      </c>
      <c r="P619" t="s">
        <v>59</v>
      </c>
      <c r="Q619" t="s">
        <v>959</v>
      </c>
      <c r="R619" t="s">
        <v>1172</v>
      </c>
      <c r="S619" s="1">
        <v>44408</v>
      </c>
      <c r="T619" s="1">
        <v>44414</v>
      </c>
      <c r="U619">
        <v>37501</v>
      </c>
      <c r="V619" t="s">
        <v>61</v>
      </c>
      <c r="W619" t="s">
        <v>1173</v>
      </c>
      <c r="X619" s="1">
        <v>44419</v>
      </c>
      <c r="Y619" t="s">
        <v>63</v>
      </c>
      <c r="Z619">
        <v>239.4</v>
      </c>
      <c r="AA619">
        <v>16</v>
      </c>
      <c r="AB619">
        <v>45.6</v>
      </c>
      <c r="AC619">
        <v>28.5</v>
      </c>
      <c r="AD619">
        <v>313.5</v>
      </c>
      <c r="AE619">
        <v>5897.35</v>
      </c>
      <c r="AF619">
        <v>7091</v>
      </c>
      <c r="AG619" t="s">
        <v>1158</v>
      </c>
      <c r="AH619" t="s">
        <v>65</v>
      </c>
      <c r="AI619" t="s">
        <v>66</v>
      </c>
      <c r="AJ619" t="s">
        <v>66</v>
      </c>
      <c r="AK619" t="s">
        <v>66</v>
      </c>
      <c r="AL619" t="s">
        <v>66</v>
      </c>
      <c r="AM619" s="2" t="s">
        <v>73</v>
      </c>
      <c r="AN619" t="s">
        <v>73</v>
      </c>
      <c r="AO619" t="s">
        <v>73</v>
      </c>
      <c r="AP619" t="s">
        <v>1174</v>
      </c>
      <c r="AQ619" t="s">
        <v>1175</v>
      </c>
      <c r="AR619" t="s">
        <v>1176</v>
      </c>
      <c r="AS619" t="s">
        <v>1177</v>
      </c>
      <c r="AT619" s="1">
        <v>44421</v>
      </c>
      <c r="AU619" s="1">
        <v>44425</v>
      </c>
    </row>
    <row r="620" spans="1:47" x14ac:dyDescent="0.3">
      <c r="A620" t="s">
        <v>1151</v>
      </c>
      <c r="B620" t="s">
        <v>182</v>
      </c>
      <c r="C620" t="s">
        <v>183</v>
      </c>
      <c r="D620">
        <v>685</v>
      </c>
      <c r="E620" t="s">
        <v>1152</v>
      </c>
      <c r="F620" t="s">
        <v>1153</v>
      </c>
      <c r="G620" t="s">
        <v>1154</v>
      </c>
      <c r="H620" t="s">
        <v>1171</v>
      </c>
      <c r="I620" t="s">
        <v>54</v>
      </c>
      <c r="J620" t="s">
        <v>1172</v>
      </c>
      <c r="K620" t="s">
        <v>56</v>
      </c>
      <c r="L620">
        <v>0</v>
      </c>
      <c r="M620" t="s">
        <v>73</v>
      </c>
      <c r="N620">
        <v>0</v>
      </c>
      <c r="O620" t="s">
        <v>58</v>
      </c>
      <c r="P620" t="s">
        <v>59</v>
      </c>
      <c r="Q620" t="s">
        <v>959</v>
      </c>
      <c r="R620" t="s">
        <v>1172</v>
      </c>
      <c r="S620" s="1">
        <v>44408</v>
      </c>
      <c r="T620" s="1">
        <v>44414</v>
      </c>
      <c r="U620">
        <v>37501</v>
      </c>
      <c r="V620" t="s">
        <v>61</v>
      </c>
      <c r="W620" t="s">
        <v>1173</v>
      </c>
      <c r="X620" s="1">
        <v>44419</v>
      </c>
      <c r="Y620" t="s">
        <v>63</v>
      </c>
      <c r="Z620">
        <v>68.52</v>
      </c>
      <c r="AA620">
        <v>16</v>
      </c>
      <c r="AB620">
        <v>5.48</v>
      </c>
      <c r="AC620">
        <v>0</v>
      </c>
      <c r="AD620">
        <v>74</v>
      </c>
      <c r="AE620">
        <v>5897.35</v>
      </c>
      <c r="AF620">
        <v>7091</v>
      </c>
      <c r="AG620" t="s">
        <v>1158</v>
      </c>
      <c r="AH620" t="s">
        <v>65</v>
      </c>
      <c r="AI620" t="s">
        <v>65</v>
      </c>
      <c r="AJ620" t="s">
        <v>66</v>
      </c>
      <c r="AK620" t="s">
        <v>66</v>
      </c>
      <c r="AL620" t="s">
        <v>66</v>
      </c>
      <c r="AM620" s="2" t="str">
        <f>HYPERLINK("https://transparencia.cidesi.mx/comprobantes/2021/CQ2100629 /C12FACTURA $ 74.00.pdf")</f>
        <v>https://transparencia.cidesi.mx/comprobantes/2021/CQ2100629 /C12FACTURA $ 74.00.pdf</v>
      </c>
      <c r="AN620" t="str">
        <f>HYPERLINK("https://transparencia.cidesi.mx/comprobantes/2021/CQ2100629 /C12FACTURA $ 74.00.pdf")</f>
        <v>https://transparencia.cidesi.mx/comprobantes/2021/CQ2100629 /C12FACTURA $ 74.00.pdf</v>
      </c>
      <c r="AO620" t="str">
        <f>HYPERLINK("https://transparencia.cidesi.mx/comprobantes/2021/CQ2100629 /C12FACTURA $ 74.00.xml")</f>
        <v>https://transparencia.cidesi.mx/comprobantes/2021/CQ2100629 /C12FACTURA $ 74.00.xml</v>
      </c>
      <c r="AP620" t="s">
        <v>1174</v>
      </c>
      <c r="AQ620" t="s">
        <v>1175</v>
      </c>
      <c r="AR620" t="s">
        <v>1176</v>
      </c>
      <c r="AS620" t="s">
        <v>1177</v>
      </c>
      <c r="AT620" s="1">
        <v>44421</v>
      </c>
      <c r="AU620" s="1">
        <v>44425</v>
      </c>
    </row>
    <row r="621" spans="1:47" x14ac:dyDescent="0.3">
      <c r="A621" t="s">
        <v>1151</v>
      </c>
      <c r="B621" t="s">
        <v>182</v>
      </c>
      <c r="C621" t="s">
        <v>183</v>
      </c>
      <c r="D621">
        <v>685</v>
      </c>
      <c r="E621" t="s">
        <v>1152</v>
      </c>
      <c r="F621" t="s">
        <v>1153</v>
      </c>
      <c r="G621" t="s">
        <v>1154</v>
      </c>
      <c r="H621" t="s">
        <v>1171</v>
      </c>
      <c r="I621" t="s">
        <v>54</v>
      </c>
      <c r="J621" t="s">
        <v>1172</v>
      </c>
      <c r="K621" t="s">
        <v>56</v>
      </c>
      <c r="L621">
        <v>0</v>
      </c>
      <c r="M621" t="s">
        <v>73</v>
      </c>
      <c r="N621">
        <v>0</v>
      </c>
      <c r="O621" t="s">
        <v>58</v>
      </c>
      <c r="P621" t="s">
        <v>59</v>
      </c>
      <c r="Q621" t="s">
        <v>959</v>
      </c>
      <c r="R621" t="s">
        <v>1172</v>
      </c>
      <c r="S621" s="1">
        <v>44408</v>
      </c>
      <c r="T621" s="1">
        <v>44414</v>
      </c>
      <c r="U621">
        <v>37501</v>
      </c>
      <c r="V621" t="s">
        <v>61</v>
      </c>
      <c r="W621" t="s">
        <v>1173</v>
      </c>
      <c r="X621" s="1">
        <v>44419</v>
      </c>
      <c r="Y621" t="s">
        <v>63</v>
      </c>
      <c r="Z621">
        <v>169.3</v>
      </c>
      <c r="AA621">
        <v>0</v>
      </c>
      <c r="AB621">
        <v>0</v>
      </c>
      <c r="AC621">
        <v>0</v>
      </c>
      <c r="AD621">
        <v>169.3</v>
      </c>
      <c r="AE621">
        <v>5897.35</v>
      </c>
      <c r="AF621">
        <v>7091</v>
      </c>
      <c r="AG621" t="s">
        <v>1158</v>
      </c>
      <c r="AH621" t="s">
        <v>65</v>
      </c>
      <c r="AI621" t="s">
        <v>65</v>
      </c>
      <c r="AJ621" t="s">
        <v>66</v>
      </c>
      <c r="AK621" t="s">
        <v>66</v>
      </c>
      <c r="AL621" t="s">
        <v>66</v>
      </c>
      <c r="AM621" s="2" t="str">
        <f>HYPERLINK("https://transparencia.cidesi.mx/comprobantes/2021/CQ2100629 /C13FACTURA$ 169.30.pdf")</f>
        <v>https://transparencia.cidesi.mx/comprobantes/2021/CQ2100629 /C13FACTURA$ 169.30.pdf</v>
      </c>
      <c r="AN621" t="str">
        <f>HYPERLINK("https://transparencia.cidesi.mx/comprobantes/2021/CQ2100629 /C13FACTURA$ 169.30.pdf")</f>
        <v>https://transparencia.cidesi.mx/comprobantes/2021/CQ2100629 /C13FACTURA$ 169.30.pdf</v>
      </c>
      <c r="AO621" t="str">
        <f>HYPERLINK("https://transparencia.cidesi.mx/comprobantes/2021/CQ2100629 /C13FACTURA $ 169.30.xml")</f>
        <v>https://transparencia.cidesi.mx/comprobantes/2021/CQ2100629 /C13FACTURA $ 169.30.xml</v>
      </c>
      <c r="AP621" t="s">
        <v>1174</v>
      </c>
      <c r="AQ621" t="s">
        <v>1175</v>
      </c>
      <c r="AR621" t="s">
        <v>1176</v>
      </c>
      <c r="AS621" t="s">
        <v>1177</v>
      </c>
      <c r="AT621" s="1">
        <v>44421</v>
      </c>
      <c r="AU621" s="1">
        <v>44425</v>
      </c>
    </row>
    <row r="622" spans="1:47" x14ac:dyDescent="0.3">
      <c r="A622" t="s">
        <v>1151</v>
      </c>
      <c r="B622" t="s">
        <v>182</v>
      </c>
      <c r="C622" t="s">
        <v>183</v>
      </c>
      <c r="D622">
        <v>685</v>
      </c>
      <c r="E622" t="s">
        <v>1152</v>
      </c>
      <c r="F622" t="s">
        <v>1153</v>
      </c>
      <c r="G622" t="s">
        <v>1154</v>
      </c>
      <c r="H622" t="s">
        <v>1171</v>
      </c>
      <c r="I622" t="s">
        <v>54</v>
      </c>
      <c r="J622" t="s">
        <v>1172</v>
      </c>
      <c r="K622" t="s">
        <v>56</v>
      </c>
      <c r="L622">
        <v>0</v>
      </c>
      <c r="M622" t="s">
        <v>73</v>
      </c>
      <c r="N622">
        <v>0</v>
      </c>
      <c r="O622" t="s">
        <v>58</v>
      </c>
      <c r="P622" t="s">
        <v>59</v>
      </c>
      <c r="Q622" t="s">
        <v>959</v>
      </c>
      <c r="R622" t="s">
        <v>1172</v>
      </c>
      <c r="S622" s="1">
        <v>44408</v>
      </c>
      <c r="T622" s="1">
        <v>44414</v>
      </c>
      <c r="U622">
        <v>37501</v>
      </c>
      <c r="V622" t="s">
        <v>61</v>
      </c>
      <c r="W622" t="s">
        <v>1173</v>
      </c>
      <c r="X622" s="1">
        <v>44419</v>
      </c>
      <c r="Y622" t="s">
        <v>63</v>
      </c>
      <c r="Z622">
        <v>105</v>
      </c>
      <c r="AA622">
        <v>0</v>
      </c>
      <c r="AB622">
        <v>0</v>
      </c>
      <c r="AC622">
        <v>0</v>
      </c>
      <c r="AD622">
        <v>105</v>
      </c>
      <c r="AE622">
        <v>5897.35</v>
      </c>
      <c r="AF622">
        <v>7091</v>
      </c>
      <c r="AG622" t="s">
        <v>1158</v>
      </c>
      <c r="AH622" t="s">
        <v>65</v>
      </c>
      <c r="AI622" t="s">
        <v>65</v>
      </c>
      <c r="AJ622" t="s">
        <v>66</v>
      </c>
      <c r="AK622" t="s">
        <v>66</v>
      </c>
      <c r="AL622" t="s">
        <v>66</v>
      </c>
      <c r="AM622" s="2" t="str">
        <f>HYPERLINK("https://transparencia.cidesi.mx/comprobantes/2021/CQ2100629 /C14FACTURA$ 105.00.pdf")</f>
        <v>https://transparencia.cidesi.mx/comprobantes/2021/CQ2100629 /C14FACTURA$ 105.00.pdf</v>
      </c>
      <c r="AN622" t="str">
        <f>HYPERLINK("https://transparencia.cidesi.mx/comprobantes/2021/CQ2100629 /C14FACTURA$ 105.00.pdf")</f>
        <v>https://transparencia.cidesi.mx/comprobantes/2021/CQ2100629 /C14FACTURA$ 105.00.pdf</v>
      </c>
      <c r="AO622" t="str">
        <f>HYPERLINK("https://transparencia.cidesi.mx/comprobantes/2021/CQ2100629 /C14FACTURA $105.00.xml")</f>
        <v>https://transparencia.cidesi.mx/comprobantes/2021/CQ2100629 /C14FACTURA $105.00.xml</v>
      </c>
      <c r="AP622" t="s">
        <v>1174</v>
      </c>
      <c r="AQ622" t="s">
        <v>1175</v>
      </c>
      <c r="AR622" t="s">
        <v>1176</v>
      </c>
      <c r="AS622" t="s">
        <v>1177</v>
      </c>
      <c r="AT622" s="1">
        <v>44421</v>
      </c>
      <c r="AU622" s="1">
        <v>44425</v>
      </c>
    </row>
    <row r="623" spans="1:47" x14ac:dyDescent="0.3">
      <c r="A623" t="s">
        <v>1151</v>
      </c>
      <c r="B623" t="s">
        <v>182</v>
      </c>
      <c r="C623" t="s">
        <v>183</v>
      </c>
      <c r="D623">
        <v>685</v>
      </c>
      <c r="E623" t="s">
        <v>1152</v>
      </c>
      <c r="F623" t="s">
        <v>1153</v>
      </c>
      <c r="G623" t="s">
        <v>1154</v>
      </c>
      <c r="H623" t="s">
        <v>1171</v>
      </c>
      <c r="I623" t="s">
        <v>54</v>
      </c>
      <c r="J623" t="s">
        <v>1172</v>
      </c>
      <c r="K623" t="s">
        <v>56</v>
      </c>
      <c r="L623">
        <v>0</v>
      </c>
      <c r="M623" t="s">
        <v>73</v>
      </c>
      <c r="N623">
        <v>0</v>
      </c>
      <c r="O623" t="s">
        <v>58</v>
      </c>
      <c r="P623" t="s">
        <v>59</v>
      </c>
      <c r="Q623" t="s">
        <v>959</v>
      </c>
      <c r="R623" t="s">
        <v>1172</v>
      </c>
      <c r="S623" s="1">
        <v>44408</v>
      </c>
      <c r="T623" s="1">
        <v>44414</v>
      </c>
      <c r="U623">
        <v>37501</v>
      </c>
      <c r="V623" t="s">
        <v>61</v>
      </c>
      <c r="W623" t="s">
        <v>1173</v>
      </c>
      <c r="X623" s="1">
        <v>44419</v>
      </c>
      <c r="Y623" t="s">
        <v>63</v>
      </c>
      <c r="Z623">
        <v>127.5</v>
      </c>
      <c r="AA623">
        <v>0</v>
      </c>
      <c r="AB623">
        <v>0</v>
      </c>
      <c r="AC623">
        <v>0</v>
      </c>
      <c r="AD623">
        <v>127.5</v>
      </c>
      <c r="AE623">
        <v>5897.35</v>
      </c>
      <c r="AF623">
        <v>7091</v>
      </c>
      <c r="AG623" t="s">
        <v>1158</v>
      </c>
      <c r="AH623" t="s">
        <v>65</v>
      </c>
      <c r="AI623" t="s">
        <v>65</v>
      </c>
      <c r="AJ623" t="s">
        <v>66</v>
      </c>
      <c r="AK623" t="s">
        <v>66</v>
      </c>
      <c r="AL623" t="s">
        <v>66</v>
      </c>
      <c r="AM623" s="2" t="str">
        <f>HYPERLINK("https://transparencia.cidesi.mx/comprobantes/2021/CQ2100629 /C15FACTURA$ 127.50.pdf")</f>
        <v>https://transparencia.cidesi.mx/comprobantes/2021/CQ2100629 /C15FACTURA$ 127.50.pdf</v>
      </c>
      <c r="AN623" t="str">
        <f>HYPERLINK("https://transparencia.cidesi.mx/comprobantes/2021/CQ2100629 /C15FACTURA$ 127.50.pdf")</f>
        <v>https://transparencia.cidesi.mx/comprobantes/2021/CQ2100629 /C15FACTURA$ 127.50.pdf</v>
      </c>
      <c r="AO623" t="str">
        <f>HYPERLINK("https://transparencia.cidesi.mx/comprobantes/2021/CQ2100629 /C15FACTURA $127.50.xml")</f>
        <v>https://transparencia.cidesi.mx/comprobantes/2021/CQ2100629 /C15FACTURA $127.50.xml</v>
      </c>
      <c r="AP623" t="s">
        <v>1174</v>
      </c>
      <c r="AQ623" t="s">
        <v>1175</v>
      </c>
      <c r="AR623" t="s">
        <v>1176</v>
      </c>
      <c r="AS623" t="s">
        <v>1177</v>
      </c>
      <c r="AT623" s="1">
        <v>44421</v>
      </c>
      <c r="AU623" s="1">
        <v>44425</v>
      </c>
    </row>
    <row r="624" spans="1:47" x14ac:dyDescent="0.3">
      <c r="A624" t="s">
        <v>1151</v>
      </c>
      <c r="B624" t="s">
        <v>182</v>
      </c>
      <c r="C624" t="s">
        <v>183</v>
      </c>
      <c r="D624">
        <v>685</v>
      </c>
      <c r="E624" t="s">
        <v>1152</v>
      </c>
      <c r="F624" t="s">
        <v>1153</v>
      </c>
      <c r="G624" t="s">
        <v>1154</v>
      </c>
      <c r="H624" t="s">
        <v>1171</v>
      </c>
      <c r="I624" t="s">
        <v>54</v>
      </c>
      <c r="J624" t="s">
        <v>1172</v>
      </c>
      <c r="K624" t="s">
        <v>56</v>
      </c>
      <c r="L624">
        <v>0</v>
      </c>
      <c r="M624" t="s">
        <v>73</v>
      </c>
      <c r="N624">
        <v>0</v>
      </c>
      <c r="O624" t="s">
        <v>58</v>
      </c>
      <c r="P624" t="s">
        <v>59</v>
      </c>
      <c r="Q624" t="s">
        <v>959</v>
      </c>
      <c r="R624" t="s">
        <v>1172</v>
      </c>
      <c r="S624" s="1">
        <v>44408</v>
      </c>
      <c r="T624" s="1">
        <v>44414</v>
      </c>
      <c r="U624">
        <v>37501</v>
      </c>
      <c r="V624" t="s">
        <v>61</v>
      </c>
      <c r="W624" t="s">
        <v>1173</v>
      </c>
      <c r="X624" s="1">
        <v>44419</v>
      </c>
      <c r="Y624" t="s">
        <v>63</v>
      </c>
      <c r="Z624">
        <v>86.9</v>
      </c>
      <c r="AA624">
        <v>0</v>
      </c>
      <c r="AB624">
        <v>0</v>
      </c>
      <c r="AC624">
        <v>0</v>
      </c>
      <c r="AD624">
        <v>86.9</v>
      </c>
      <c r="AE624">
        <v>5897.35</v>
      </c>
      <c r="AF624">
        <v>7091</v>
      </c>
      <c r="AG624" t="s">
        <v>1158</v>
      </c>
      <c r="AH624" t="s">
        <v>65</v>
      </c>
      <c r="AI624" t="s">
        <v>65</v>
      </c>
      <c r="AJ624" t="s">
        <v>66</v>
      </c>
      <c r="AK624" t="s">
        <v>66</v>
      </c>
      <c r="AL624" t="s">
        <v>66</v>
      </c>
      <c r="AM624" s="2" t="str">
        <f>HYPERLINK("https://transparencia.cidesi.mx/comprobantes/2021/CQ2100629 /C16FACTURA $ 86.90.pdf")</f>
        <v>https://transparencia.cidesi.mx/comprobantes/2021/CQ2100629 /C16FACTURA $ 86.90.pdf</v>
      </c>
      <c r="AN624" t="str">
        <f>HYPERLINK("https://transparencia.cidesi.mx/comprobantes/2021/CQ2100629 /C16FACTURA $ 86.90.pdf")</f>
        <v>https://transparencia.cidesi.mx/comprobantes/2021/CQ2100629 /C16FACTURA $ 86.90.pdf</v>
      </c>
      <c r="AO624" t="str">
        <f>HYPERLINK("https://transparencia.cidesi.mx/comprobantes/2021/CQ2100629 /C16FACTURA $ 86.90.xml")</f>
        <v>https://transparencia.cidesi.mx/comprobantes/2021/CQ2100629 /C16FACTURA $ 86.90.xml</v>
      </c>
      <c r="AP624" t="s">
        <v>1174</v>
      </c>
      <c r="AQ624" t="s">
        <v>1175</v>
      </c>
      <c r="AR624" t="s">
        <v>1176</v>
      </c>
      <c r="AS624" t="s">
        <v>1177</v>
      </c>
      <c r="AT624" s="1">
        <v>44421</v>
      </c>
      <c r="AU624" s="1">
        <v>44425</v>
      </c>
    </row>
    <row r="625" spans="1:47" x14ac:dyDescent="0.3">
      <c r="A625" t="s">
        <v>1151</v>
      </c>
      <c r="B625" t="s">
        <v>182</v>
      </c>
      <c r="C625" t="s">
        <v>183</v>
      </c>
      <c r="D625">
        <v>685</v>
      </c>
      <c r="E625" t="s">
        <v>1152</v>
      </c>
      <c r="F625" t="s">
        <v>1153</v>
      </c>
      <c r="G625" t="s">
        <v>1154</v>
      </c>
      <c r="H625" t="s">
        <v>1171</v>
      </c>
      <c r="I625" t="s">
        <v>54</v>
      </c>
      <c r="J625" t="s">
        <v>1172</v>
      </c>
      <c r="K625" t="s">
        <v>56</v>
      </c>
      <c r="L625">
        <v>0</v>
      </c>
      <c r="M625" t="s">
        <v>73</v>
      </c>
      <c r="N625">
        <v>0</v>
      </c>
      <c r="O625" t="s">
        <v>58</v>
      </c>
      <c r="P625" t="s">
        <v>59</v>
      </c>
      <c r="Q625" t="s">
        <v>959</v>
      </c>
      <c r="R625" t="s">
        <v>1172</v>
      </c>
      <c r="S625" s="1">
        <v>44408</v>
      </c>
      <c r="T625" s="1">
        <v>44414</v>
      </c>
      <c r="U625">
        <v>37501</v>
      </c>
      <c r="V625" t="s">
        <v>61</v>
      </c>
      <c r="W625" t="s">
        <v>1173</v>
      </c>
      <c r="X625" s="1">
        <v>44419</v>
      </c>
      <c r="Y625" t="s">
        <v>63</v>
      </c>
      <c r="Z625">
        <v>73</v>
      </c>
      <c r="AA625">
        <v>0</v>
      </c>
      <c r="AB625">
        <v>0</v>
      </c>
      <c r="AC625">
        <v>0</v>
      </c>
      <c r="AD625">
        <v>73</v>
      </c>
      <c r="AE625">
        <v>5897.35</v>
      </c>
      <c r="AF625">
        <v>7091</v>
      </c>
      <c r="AG625" t="s">
        <v>1158</v>
      </c>
      <c r="AH625" t="s">
        <v>65</v>
      </c>
      <c r="AI625" t="s">
        <v>65</v>
      </c>
      <c r="AJ625" t="s">
        <v>66</v>
      </c>
      <c r="AK625" t="s">
        <v>66</v>
      </c>
      <c r="AL625" t="s">
        <v>66</v>
      </c>
      <c r="AM625" s="2" t="str">
        <f>HYPERLINK("https://transparencia.cidesi.mx/comprobantes/2021/CQ2100629 /C17factura $73.00.pdf")</f>
        <v>https://transparencia.cidesi.mx/comprobantes/2021/CQ2100629 /C17factura $73.00.pdf</v>
      </c>
      <c r="AN625" t="str">
        <f>HYPERLINK("https://transparencia.cidesi.mx/comprobantes/2021/CQ2100629 /C17factura $73.00.pdf")</f>
        <v>https://transparencia.cidesi.mx/comprobantes/2021/CQ2100629 /C17factura $73.00.pdf</v>
      </c>
      <c r="AO625" t="str">
        <f>HYPERLINK("https://transparencia.cidesi.mx/comprobantes/2021/CQ2100629 /C17factura $ 73.00.xml")</f>
        <v>https://transparencia.cidesi.mx/comprobantes/2021/CQ2100629 /C17factura $ 73.00.xml</v>
      </c>
      <c r="AP625" t="s">
        <v>1174</v>
      </c>
      <c r="AQ625" t="s">
        <v>1175</v>
      </c>
      <c r="AR625" t="s">
        <v>1176</v>
      </c>
      <c r="AS625" t="s">
        <v>1177</v>
      </c>
      <c r="AT625" s="1">
        <v>44421</v>
      </c>
      <c r="AU625" s="1">
        <v>44425</v>
      </c>
    </row>
    <row r="626" spans="1:47" x14ac:dyDescent="0.3">
      <c r="A626" t="s">
        <v>1151</v>
      </c>
      <c r="B626" t="s">
        <v>182</v>
      </c>
      <c r="C626" t="s">
        <v>183</v>
      </c>
      <c r="D626">
        <v>685</v>
      </c>
      <c r="E626" t="s">
        <v>1152</v>
      </c>
      <c r="F626" t="s">
        <v>1153</v>
      </c>
      <c r="G626" t="s">
        <v>1154</v>
      </c>
      <c r="H626" t="s">
        <v>1178</v>
      </c>
      <c r="I626" t="s">
        <v>54</v>
      </c>
      <c r="J626" t="s">
        <v>1179</v>
      </c>
      <c r="K626" t="s">
        <v>56</v>
      </c>
      <c r="L626">
        <v>0</v>
      </c>
      <c r="M626" t="s">
        <v>73</v>
      </c>
      <c r="N626">
        <v>0</v>
      </c>
      <c r="O626" t="s">
        <v>58</v>
      </c>
      <c r="P626" t="s">
        <v>59</v>
      </c>
      <c r="Q626" t="s">
        <v>60</v>
      </c>
      <c r="R626" t="s">
        <v>1179</v>
      </c>
      <c r="S626" s="1">
        <v>44425</v>
      </c>
      <c r="T626" s="1">
        <v>44428</v>
      </c>
      <c r="U626">
        <v>37501</v>
      </c>
      <c r="V626" t="s">
        <v>104</v>
      </c>
      <c r="W626" t="s">
        <v>1180</v>
      </c>
      <c r="X626" s="1">
        <v>44431</v>
      </c>
      <c r="Y626" t="s">
        <v>63</v>
      </c>
      <c r="Z626">
        <v>510.6</v>
      </c>
      <c r="AA626">
        <v>16</v>
      </c>
      <c r="AB626">
        <v>79.400000000000006</v>
      </c>
      <c r="AC626">
        <v>0</v>
      </c>
      <c r="AD626">
        <v>590</v>
      </c>
      <c r="AE626">
        <v>2168.1999999999998</v>
      </c>
      <c r="AF626">
        <v>3818</v>
      </c>
      <c r="AG626" t="s">
        <v>1166</v>
      </c>
      <c r="AH626" t="s">
        <v>65</v>
      </c>
      <c r="AI626" t="s">
        <v>65</v>
      </c>
      <c r="AJ626" t="s">
        <v>66</v>
      </c>
      <c r="AK626" t="s">
        <v>66</v>
      </c>
      <c r="AL626" t="s">
        <v>66</v>
      </c>
      <c r="AM626" s="2" t="str">
        <f>HYPERLINK("https://transparencia.cidesi.mx/comprobantes/2021/CQ2100678 /C1factura $ 590.00.xml")</f>
        <v>https://transparencia.cidesi.mx/comprobantes/2021/CQ2100678 /C1factura $ 590.00.xml</v>
      </c>
      <c r="AN626" t="str">
        <f>HYPERLINK("https://transparencia.cidesi.mx/comprobantes/2021/CQ2100678 /C1factura $ 590.00.xml")</f>
        <v>https://transparencia.cidesi.mx/comprobantes/2021/CQ2100678 /C1factura $ 590.00.xml</v>
      </c>
      <c r="AO626" t="str">
        <f>HYPERLINK("https://transparencia.cidesi.mx/comprobantes/2021/CQ2100678 /C1factura $ 590.00.xml")</f>
        <v>https://transparencia.cidesi.mx/comprobantes/2021/CQ2100678 /C1factura $ 590.00.xml</v>
      </c>
      <c r="AP626" t="s">
        <v>1181</v>
      </c>
      <c r="AQ626" t="s">
        <v>1182</v>
      </c>
      <c r="AR626" t="s">
        <v>1161</v>
      </c>
      <c r="AS626" t="s">
        <v>1183</v>
      </c>
      <c r="AT626" s="1">
        <v>44434</v>
      </c>
      <c r="AU626" s="1">
        <v>44438</v>
      </c>
    </row>
    <row r="627" spans="1:47" x14ac:dyDescent="0.3">
      <c r="A627" t="s">
        <v>1151</v>
      </c>
      <c r="B627" t="s">
        <v>182</v>
      </c>
      <c r="C627" t="s">
        <v>183</v>
      </c>
      <c r="D627">
        <v>685</v>
      </c>
      <c r="E627" t="s">
        <v>1152</v>
      </c>
      <c r="F627" t="s">
        <v>1153</v>
      </c>
      <c r="G627" t="s">
        <v>1154</v>
      </c>
      <c r="H627" t="s">
        <v>1178</v>
      </c>
      <c r="I627" t="s">
        <v>54</v>
      </c>
      <c r="J627" t="s">
        <v>1179</v>
      </c>
      <c r="K627" t="s">
        <v>56</v>
      </c>
      <c r="L627">
        <v>0</v>
      </c>
      <c r="M627" t="s">
        <v>73</v>
      </c>
      <c r="N627">
        <v>0</v>
      </c>
      <c r="O627" t="s">
        <v>58</v>
      </c>
      <c r="P627" t="s">
        <v>59</v>
      </c>
      <c r="Q627" t="s">
        <v>60</v>
      </c>
      <c r="R627" t="s">
        <v>1179</v>
      </c>
      <c r="S627" s="1">
        <v>44425</v>
      </c>
      <c r="T627" s="1">
        <v>44428</v>
      </c>
      <c r="U627">
        <v>37501</v>
      </c>
      <c r="V627" t="s">
        <v>61</v>
      </c>
      <c r="W627" t="s">
        <v>1180</v>
      </c>
      <c r="X627" s="1">
        <v>44431</v>
      </c>
      <c r="Y627" t="s">
        <v>63</v>
      </c>
      <c r="Z627">
        <v>323.27999999999997</v>
      </c>
      <c r="AA627">
        <v>16</v>
      </c>
      <c r="AB627">
        <v>51.72</v>
      </c>
      <c r="AC627">
        <v>0</v>
      </c>
      <c r="AD627">
        <v>375</v>
      </c>
      <c r="AE627">
        <v>2168.1999999999998</v>
      </c>
      <c r="AF627">
        <v>3818</v>
      </c>
      <c r="AG627" t="s">
        <v>1158</v>
      </c>
      <c r="AH627" t="s">
        <v>65</v>
      </c>
      <c r="AI627" t="s">
        <v>65</v>
      </c>
      <c r="AJ627" t="s">
        <v>66</v>
      </c>
      <c r="AK627" t="s">
        <v>66</v>
      </c>
      <c r="AL627" t="s">
        <v>66</v>
      </c>
      <c r="AM627" s="2" t="str">
        <f>HYPERLINK("https://transparencia.cidesi.mx/comprobantes/2021/CQ2100678 /C2factura $ 375.00.pdf")</f>
        <v>https://transparencia.cidesi.mx/comprobantes/2021/CQ2100678 /C2factura $ 375.00.pdf</v>
      </c>
      <c r="AN627" t="str">
        <f>HYPERLINK("https://transparencia.cidesi.mx/comprobantes/2021/CQ2100678 /C2factura $ 375.00.pdf")</f>
        <v>https://transparencia.cidesi.mx/comprobantes/2021/CQ2100678 /C2factura $ 375.00.pdf</v>
      </c>
      <c r="AO627" t="str">
        <f>HYPERLINK("https://transparencia.cidesi.mx/comprobantes/2021/CQ2100678 /C2factura $ 375.00.xml")</f>
        <v>https://transparencia.cidesi.mx/comprobantes/2021/CQ2100678 /C2factura $ 375.00.xml</v>
      </c>
      <c r="AP627" t="s">
        <v>1181</v>
      </c>
      <c r="AQ627" t="s">
        <v>1182</v>
      </c>
      <c r="AR627" t="s">
        <v>1161</v>
      </c>
      <c r="AS627" t="s">
        <v>1183</v>
      </c>
      <c r="AT627" s="1">
        <v>44434</v>
      </c>
      <c r="AU627" s="1">
        <v>44438</v>
      </c>
    </row>
    <row r="628" spans="1:47" x14ac:dyDescent="0.3">
      <c r="A628" t="s">
        <v>1151</v>
      </c>
      <c r="B628" t="s">
        <v>182</v>
      </c>
      <c r="C628" t="s">
        <v>183</v>
      </c>
      <c r="D628">
        <v>685</v>
      </c>
      <c r="E628" t="s">
        <v>1152</v>
      </c>
      <c r="F628" t="s">
        <v>1153</v>
      </c>
      <c r="G628" t="s">
        <v>1154</v>
      </c>
      <c r="H628" t="s">
        <v>1178</v>
      </c>
      <c r="I628" t="s">
        <v>54</v>
      </c>
      <c r="J628" t="s">
        <v>1179</v>
      </c>
      <c r="K628" t="s">
        <v>56</v>
      </c>
      <c r="L628">
        <v>0</v>
      </c>
      <c r="M628" t="s">
        <v>73</v>
      </c>
      <c r="N628">
        <v>0</v>
      </c>
      <c r="O628" t="s">
        <v>58</v>
      </c>
      <c r="P628" t="s">
        <v>59</v>
      </c>
      <c r="Q628" t="s">
        <v>60</v>
      </c>
      <c r="R628" t="s">
        <v>1179</v>
      </c>
      <c r="S628" s="1">
        <v>44425</v>
      </c>
      <c r="T628" s="1">
        <v>44428</v>
      </c>
      <c r="U628">
        <v>37501</v>
      </c>
      <c r="V628" t="s">
        <v>61</v>
      </c>
      <c r="W628" t="s">
        <v>1180</v>
      </c>
      <c r="X628" s="1">
        <v>44431</v>
      </c>
      <c r="Y628" t="s">
        <v>63</v>
      </c>
      <c r="Z628">
        <v>293.10000000000002</v>
      </c>
      <c r="AA628">
        <v>16</v>
      </c>
      <c r="AB628">
        <v>46.9</v>
      </c>
      <c r="AC628">
        <v>34</v>
      </c>
      <c r="AD628">
        <v>374</v>
      </c>
      <c r="AE628">
        <v>2168.1999999999998</v>
      </c>
      <c r="AF628">
        <v>3818</v>
      </c>
      <c r="AG628" t="s">
        <v>1158</v>
      </c>
      <c r="AH628" t="s">
        <v>65</v>
      </c>
      <c r="AI628" t="s">
        <v>65</v>
      </c>
      <c r="AJ628" t="s">
        <v>66</v>
      </c>
      <c r="AK628" t="s">
        <v>66</v>
      </c>
      <c r="AL628" t="s">
        <v>66</v>
      </c>
      <c r="AM628" s="2" t="str">
        <f>HYPERLINK("https://transparencia.cidesi.mx/comprobantes/2021/CQ2100678 /C3factura $ 340.00.pdf")</f>
        <v>https://transparencia.cidesi.mx/comprobantes/2021/CQ2100678 /C3factura $ 340.00.pdf</v>
      </c>
      <c r="AN628" t="str">
        <f>HYPERLINK("https://transparencia.cidesi.mx/comprobantes/2021/CQ2100678 /C3factura $ 340.00.pdf")</f>
        <v>https://transparencia.cidesi.mx/comprobantes/2021/CQ2100678 /C3factura $ 340.00.pdf</v>
      </c>
      <c r="AO628" t="str">
        <f>HYPERLINK("https://transparencia.cidesi.mx/comprobantes/2021/CQ2100678 /C3factura $ 340.00.xml")</f>
        <v>https://transparencia.cidesi.mx/comprobantes/2021/CQ2100678 /C3factura $ 340.00.xml</v>
      </c>
      <c r="AP628" t="s">
        <v>1181</v>
      </c>
      <c r="AQ628" t="s">
        <v>1182</v>
      </c>
      <c r="AR628" t="s">
        <v>1161</v>
      </c>
      <c r="AS628" t="s">
        <v>1183</v>
      </c>
      <c r="AT628" s="1">
        <v>44434</v>
      </c>
      <c r="AU628" s="1">
        <v>44438</v>
      </c>
    </row>
    <row r="629" spans="1:47" x14ac:dyDescent="0.3">
      <c r="A629" t="s">
        <v>1151</v>
      </c>
      <c r="B629" t="s">
        <v>182</v>
      </c>
      <c r="C629" t="s">
        <v>183</v>
      </c>
      <c r="D629">
        <v>685</v>
      </c>
      <c r="E629" t="s">
        <v>1152</v>
      </c>
      <c r="F629" t="s">
        <v>1153</v>
      </c>
      <c r="G629" t="s">
        <v>1154</v>
      </c>
      <c r="H629" t="s">
        <v>1178</v>
      </c>
      <c r="I629" t="s">
        <v>54</v>
      </c>
      <c r="J629" t="s">
        <v>1179</v>
      </c>
      <c r="K629" t="s">
        <v>56</v>
      </c>
      <c r="L629">
        <v>0</v>
      </c>
      <c r="M629" t="s">
        <v>73</v>
      </c>
      <c r="N629">
        <v>0</v>
      </c>
      <c r="O629" t="s">
        <v>58</v>
      </c>
      <c r="P629" t="s">
        <v>59</v>
      </c>
      <c r="Q629" t="s">
        <v>60</v>
      </c>
      <c r="R629" t="s">
        <v>1179</v>
      </c>
      <c r="S629" s="1">
        <v>44425</v>
      </c>
      <c r="T629" s="1">
        <v>44428</v>
      </c>
      <c r="U629">
        <v>37501</v>
      </c>
      <c r="V629" t="s">
        <v>61</v>
      </c>
      <c r="W629" t="s">
        <v>1180</v>
      </c>
      <c r="X629" s="1">
        <v>44431</v>
      </c>
      <c r="Y629" t="s">
        <v>63</v>
      </c>
      <c r="Z629">
        <v>461.21</v>
      </c>
      <c r="AA629">
        <v>16</v>
      </c>
      <c r="AB629">
        <v>73.790000000000006</v>
      </c>
      <c r="AC629">
        <v>53.5</v>
      </c>
      <c r="AD629">
        <v>588.5</v>
      </c>
      <c r="AE629">
        <v>2168.1999999999998</v>
      </c>
      <c r="AF629">
        <v>3818</v>
      </c>
      <c r="AG629" t="s">
        <v>1158</v>
      </c>
      <c r="AH629" t="s">
        <v>65</v>
      </c>
      <c r="AI629" t="s">
        <v>65</v>
      </c>
      <c r="AJ629" t="s">
        <v>66</v>
      </c>
      <c r="AK629" t="s">
        <v>66</v>
      </c>
      <c r="AL629" t="s">
        <v>66</v>
      </c>
      <c r="AM629" s="2" t="str">
        <f>HYPERLINK("https://transparencia.cidesi.mx/comprobantes/2021/CQ2100678 /C4factura$ 535.00.pdf")</f>
        <v>https://transparencia.cidesi.mx/comprobantes/2021/CQ2100678 /C4factura$ 535.00.pdf</v>
      </c>
      <c r="AN629" t="str">
        <f>HYPERLINK("https://transparencia.cidesi.mx/comprobantes/2021/CQ2100678 /C4factura$ 535.00.pdf")</f>
        <v>https://transparencia.cidesi.mx/comprobantes/2021/CQ2100678 /C4factura$ 535.00.pdf</v>
      </c>
      <c r="AO629" t="str">
        <f>HYPERLINK("https://transparencia.cidesi.mx/comprobantes/2021/CQ2100678 /C4factura $535.00.xml")</f>
        <v>https://transparencia.cidesi.mx/comprobantes/2021/CQ2100678 /C4factura $535.00.xml</v>
      </c>
      <c r="AP629" t="s">
        <v>1181</v>
      </c>
      <c r="AQ629" t="s">
        <v>1182</v>
      </c>
      <c r="AR629" t="s">
        <v>1161</v>
      </c>
      <c r="AS629" t="s">
        <v>1183</v>
      </c>
      <c r="AT629" s="1">
        <v>44434</v>
      </c>
      <c r="AU629" s="1">
        <v>44438</v>
      </c>
    </row>
    <row r="630" spans="1:47" x14ac:dyDescent="0.3">
      <c r="A630" t="s">
        <v>1151</v>
      </c>
      <c r="B630" t="s">
        <v>182</v>
      </c>
      <c r="C630" t="s">
        <v>183</v>
      </c>
      <c r="D630">
        <v>685</v>
      </c>
      <c r="E630" t="s">
        <v>1152</v>
      </c>
      <c r="F630" t="s">
        <v>1153</v>
      </c>
      <c r="G630" t="s">
        <v>1154</v>
      </c>
      <c r="H630" t="s">
        <v>1178</v>
      </c>
      <c r="I630" t="s">
        <v>54</v>
      </c>
      <c r="J630" t="s">
        <v>1179</v>
      </c>
      <c r="K630" t="s">
        <v>56</v>
      </c>
      <c r="L630">
        <v>0</v>
      </c>
      <c r="M630" t="s">
        <v>73</v>
      </c>
      <c r="N630">
        <v>0</v>
      </c>
      <c r="O630" t="s">
        <v>58</v>
      </c>
      <c r="P630" t="s">
        <v>59</v>
      </c>
      <c r="Q630" t="s">
        <v>60</v>
      </c>
      <c r="R630" t="s">
        <v>1179</v>
      </c>
      <c r="S630" s="1">
        <v>44425</v>
      </c>
      <c r="T630" s="1">
        <v>44428</v>
      </c>
      <c r="U630">
        <v>37501</v>
      </c>
      <c r="V630" t="s">
        <v>61</v>
      </c>
      <c r="W630" t="s">
        <v>1180</v>
      </c>
      <c r="X630" s="1">
        <v>44431</v>
      </c>
      <c r="Y630" t="s">
        <v>63</v>
      </c>
      <c r="Z630">
        <v>135.34</v>
      </c>
      <c r="AA630">
        <v>16</v>
      </c>
      <c r="AB630">
        <v>21.66</v>
      </c>
      <c r="AC630">
        <v>15.7</v>
      </c>
      <c r="AD630">
        <v>172.7</v>
      </c>
      <c r="AE630">
        <v>2168.1999999999998</v>
      </c>
      <c r="AF630">
        <v>3818</v>
      </c>
      <c r="AG630" t="s">
        <v>1158</v>
      </c>
      <c r="AH630" t="s">
        <v>65</v>
      </c>
      <c r="AI630" t="s">
        <v>65</v>
      </c>
      <c r="AJ630" t="s">
        <v>66</v>
      </c>
      <c r="AK630" t="s">
        <v>66</v>
      </c>
      <c r="AL630" t="s">
        <v>66</v>
      </c>
      <c r="AM630" s="2" t="str">
        <f>HYPERLINK("https://transparencia.cidesi.mx/comprobantes/2021/CQ2100678 /C5factura $ 157.00.pdf")</f>
        <v>https://transparencia.cidesi.mx/comprobantes/2021/CQ2100678 /C5factura $ 157.00.pdf</v>
      </c>
      <c r="AN630" t="str">
        <f>HYPERLINK("https://transparencia.cidesi.mx/comprobantes/2021/CQ2100678 /C5factura $ 157.00.pdf")</f>
        <v>https://transparencia.cidesi.mx/comprobantes/2021/CQ2100678 /C5factura $ 157.00.pdf</v>
      </c>
      <c r="AO630" t="str">
        <f>HYPERLINK("https://transparencia.cidesi.mx/comprobantes/2021/CQ2100678 /C5factura $ 157.00.xml")</f>
        <v>https://transparencia.cidesi.mx/comprobantes/2021/CQ2100678 /C5factura $ 157.00.xml</v>
      </c>
      <c r="AP630" t="s">
        <v>1181</v>
      </c>
      <c r="AQ630" t="s">
        <v>1182</v>
      </c>
      <c r="AR630" t="s">
        <v>1161</v>
      </c>
      <c r="AS630" t="s">
        <v>1183</v>
      </c>
      <c r="AT630" s="1">
        <v>44434</v>
      </c>
      <c r="AU630" s="1">
        <v>44438</v>
      </c>
    </row>
    <row r="631" spans="1:47" x14ac:dyDescent="0.3">
      <c r="A631" t="s">
        <v>1151</v>
      </c>
      <c r="B631" t="s">
        <v>182</v>
      </c>
      <c r="C631" t="s">
        <v>183</v>
      </c>
      <c r="D631">
        <v>685</v>
      </c>
      <c r="E631" t="s">
        <v>1152</v>
      </c>
      <c r="F631" t="s">
        <v>1153</v>
      </c>
      <c r="G631" t="s">
        <v>1154</v>
      </c>
      <c r="H631" t="s">
        <v>1178</v>
      </c>
      <c r="I631" t="s">
        <v>54</v>
      </c>
      <c r="J631" t="s">
        <v>1179</v>
      </c>
      <c r="K631" t="s">
        <v>56</v>
      </c>
      <c r="L631">
        <v>0</v>
      </c>
      <c r="M631" t="s">
        <v>73</v>
      </c>
      <c r="N631">
        <v>0</v>
      </c>
      <c r="O631" t="s">
        <v>58</v>
      </c>
      <c r="P631" t="s">
        <v>59</v>
      </c>
      <c r="Q631" t="s">
        <v>60</v>
      </c>
      <c r="R631" t="s">
        <v>1179</v>
      </c>
      <c r="S631" s="1">
        <v>44425</v>
      </c>
      <c r="T631" s="1">
        <v>44428</v>
      </c>
      <c r="U631">
        <v>37501</v>
      </c>
      <c r="V631" t="s">
        <v>61</v>
      </c>
      <c r="W631" t="s">
        <v>1180</v>
      </c>
      <c r="X631" s="1">
        <v>44431</v>
      </c>
      <c r="Y631" t="s">
        <v>63</v>
      </c>
      <c r="Z631">
        <v>58.62</v>
      </c>
      <c r="AA631">
        <v>16</v>
      </c>
      <c r="AB631">
        <v>9.3800000000000008</v>
      </c>
      <c r="AC631">
        <v>0</v>
      </c>
      <c r="AD631">
        <v>68</v>
      </c>
      <c r="AE631">
        <v>2168.1999999999998</v>
      </c>
      <c r="AF631">
        <v>3818</v>
      </c>
      <c r="AG631" t="s">
        <v>1158</v>
      </c>
      <c r="AH631" t="s">
        <v>65</v>
      </c>
      <c r="AI631" t="s">
        <v>65</v>
      </c>
      <c r="AJ631" t="s">
        <v>66</v>
      </c>
      <c r="AK631" t="s">
        <v>66</v>
      </c>
      <c r="AL631" t="s">
        <v>66</v>
      </c>
      <c r="AM631" s="2" t="str">
        <f>HYPERLINK("https://transparencia.cidesi.mx/comprobantes/2021/CQ2100678 /C6factura $ 68.00.pdf")</f>
        <v>https://transparencia.cidesi.mx/comprobantes/2021/CQ2100678 /C6factura $ 68.00.pdf</v>
      </c>
      <c r="AN631" t="str">
        <f>HYPERLINK("https://transparencia.cidesi.mx/comprobantes/2021/CQ2100678 /C6factura $ 68.00.pdf")</f>
        <v>https://transparencia.cidesi.mx/comprobantes/2021/CQ2100678 /C6factura $ 68.00.pdf</v>
      </c>
      <c r="AO631" t="str">
        <f>HYPERLINK("https://transparencia.cidesi.mx/comprobantes/2021/CQ2100678 /C6factura $ 68.00.xml")</f>
        <v>https://transparencia.cidesi.mx/comprobantes/2021/CQ2100678 /C6factura $ 68.00.xml</v>
      </c>
      <c r="AP631" t="s">
        <v>1181</v>
      </c>
      <c r="AQ631" t="s">
        <v>1182</v>
      </c>
      <c r="AR631" t="s">
        <v>1161</v>
      </c>
      <c r="AS631" t="s">
        <v>1183</v>
      </c>
      <c r="AT631" s="1">
        <v>44434</v>
      </c>
      <c r="AU631" s="1">
        <v>44438</v>
      </c>
    </row>
    <row r="632" spans="1:47" x14ac:dyDescent="0.3">
      <c r="A632" t="s">
        <v>1151</v>
      </c>
      <c r="B632" t="s">
        <v>182</v>
      </c>
      <c r="C632" t="s">
        <v>183</v>
      </c>
      <c r="D632">
        <v>685</v>
      </c>
      <c r="E632" t="s">
        <v>1152</v>
      </c>
      <c r="F632" t="s">
        <v>1153</v>
      </c>
      <c r="G632" t="s">
        <v>1154</v>
      </c>
      <c r="H632" t="s">
        <v>1184</v>
      </c>
      <c r="I632" t="s">
        <v>54</v>
      </c>
      <c r="J632" t="s">
        <v>1185</v>
      </c>
      <c r="K632" t="s">
        <v>56</v>
      </c>
      <c r="L632">
        <v>0</v>
      </c>
      <c r="M632" t="s">
        <v>73</v>
      </c>
      <c r="N632">
        <v>0</v>
      </c>
      <c r="O632" t="s">
        <v>58</v>
      </c>
      <c r="P632" t="s">
        <v>59</v>
      </c>
      <c r="Q632" t="s">
        <v>60</v>
      </c>
      <c r="R632" t="s">
        <v>1185</v>
      </c>
      <c r="S632" s="1">
        <v>44435</v>
      </c>
      <c r="T632" s="1">
        <v>44435</v>
      </c>
      <c r="U632">
        <v>37501</v>
      </c>
      <c r="V632" t="s">
        <v>61</v>
      </c>
      <c r="W632" t="s">
        <v>1186</v>
      </c>
      <c r="X632" s="1">
        <v>44440</v>
      </c>
      <c r="Y632" t="s">
        <v>63</v>
      </c>
      <c r="Z632">
        <v>107.76</v>
      </c>
      <c r="AA632">
        <v>16</v>
      </c>
      <c r="AB632">
        <v>17.239999999999998</v>
      </c>
      <c r="AC632">
        <v>12.5</v>
      </c>
      <c r="AD632">
        <v>137.5</v>
      </c>
      <c r="AE632">
        <v>542.5</v>
      </c>
      <c r="AF632">
        <v>545</v>
      </c>
      <c r="AG632" t="s">
        <v>1158</v>
      </c>
      <c r="AH632" t="s">
        <v>65</v>
      </c>
      <c r="AI632" t="s">
        <v>65</v>
      </c>
      <c r="AJ632" t="s">
        <v>66</v>
      </c>
      <c r="AK632" t="s">
        <v>66</v>
      </c>
      <c r="AL632" t="s">
        <v>66</v>
      </c>
      <c r="AM632" s="2" t="str">
        <f>HYPERLINK("https://transparencia.cidesi.mx/comprobantes/2021/CQ2100718 /C1FACTURA $ 125.00.pdf")</f>
        <v>https://transparencia.cidesi.mx/comprobantes/2021/CQ2100718 /C1FACTURA $ 125.00.pdf</v>
      </c>
      <c r="AN632" t="str">
        <f>HYPERLINK("https://transparencia.cidesi.mx/comprobantes/2021/CQ2100718 /C1FACTURA $ 125.00.pdf")</f>
        <v>https://transparencia.cidesi.mx/comprobantes/2021/CQ2100718 /C1FACTURA $ 125.00.pdf</v>
      </c>
      <c r="AO632" t="str">
        <f>HYPERLINK("https://transparencia.cidesi.mx/comprobantes/2021/CQ2100718 /C1FACTURA $ 125.00.xml")</f>
        <v>https://transparencia.cidesi.mx/comprobantes/2021/CQ2100718 /C1FACTURA $ 125.00.xml</v>
      </c>
      <c r="AP632" t="s">
        <v>1187</v>
      </c>
      <c r="AQ632" t="s">
        <v>1187</v>
      </c>
      <c r="AR632" t="s">
        <v>1161</v>
      </c>
      <c r="AS632" t="s">
        <v>1170</v>
      </c>
      <c r="AT632" s="1">
        <v>44442</v>
      </c>
      <c r="AU632" s="1">
        <v>44452</v>
      </c>
    </row>
    <row r="633" spans="1:47" x14ac:dyDescent="0.3">
      <c r="A633" t="s">
        <v>1151</v>
      </c>
      <c r="B633" t="s">
        <v>182</v>
      </c>
      <c r="C633" t="s">
        <v>183</v>
      </c>
      <c r="D633">
        <v>685</v>
      </c>
      <c r="E633" t="s">
        <v>1152</v>
      </c>
      <c r="F633" t="s">
        <v>1153</v>
      </c>
      <c r="G633" t="s">
        <v>1154</v>
      </c>
      <c r="H633" t="s">
        <v>1184</v>
      </c>
      <c r="I633" t="s">
        <v>54</v>
      </c>
      <c r="J633" t="s">
        <v>1185</v>
      </c>
      <c r="K633" t="s">
        <v>56</v>
      </c>
      <c r="L633">
        <v>0</v>
      </c>
      <c r="M633" t="s">
        <v>73</v>
      </c>
      <c r="N633">
        <v>0</v>
      </c>
      <c r="O633" t="s">
        <v>58</v>
      </c>
      <c r="P633" t="s">
        <v>59</v>
      </c>
      <c r="Q633" t="s">
        <v>60</v>
      </c>
      <c r="R633" t="s">
        <v>1185</v>
      </c>
      <c r="S633" s="1">
        <v>44435</v>
      </c>
      <c r="T633" s="1">
        <v>44435</v>
      </c>
      <c r="U633">
        <v>37501</v>
      </c>
      <c r="V633" t="s">
        <v>61</v>
      </c>
      <c r="W633" t="s">
        <v>1186</v>
      </c>
      <c r="X633" s="1">
        <v>44440</v>
      </c>
      <c r="Y633" t="s">
        <v>63</v>
      </c>
      <c r="Z633">
        <v>349.14</v>
      </c>
      <c r="AA633">
        <v>16</v>
      </c>
      <c r="AB633">
        <v>55.86</v>
      </c>
      <c r="AC633">
        <v>0</v>
      </c>
      <c r="AD633">
        <v>405</v>
      </c>
      <c r="AE633">
        <v>542.5</v>
      </c>
      <c r="AF633">
        <v>545</v>
      </c>
      <c r="AG633" t="s">
        <v>1158</v>
      </c>
      <c r="AH633" t="s">
        <v>65</v>
      </c>
      <c r="AI633" t="s">
        <v>65</v>
      </c>
      <c r="AJ633" t="s">
        <v>66</v>
      </c>
      <c r="AK633" t="s">
        <v>66</v>
      </c>
      <c r="AL633" t="s">
        <v>66</v>
      </c>
      <c r="AM633" s="2" t="str">
        <f>HYPERLINK("https://transparencia.cidesi.mx/comprobantes/2021/CQ2100718 /C2FACTURA $ 405.00.pdf")</f>
        <v>https://transparencia.cidesi.mx/comprobantes/2021/CQ2100718 /C2FACTURA $ 405.00.pdf</v>
      </c>
      <c r="AN633" t="str">
        <f>HYPERLINK("https://transparencia.cidesi.mx/comprobantes/2021/CQ2100718 /C2FACTURA $ 405.00.pdf")</f>
        <v>https://transparencia.cidesi.mx/comprobantes/2021/CQ2100718 /C2FACTURA $ 405.00.pdf</v>
      </c>
      <c r="AO633" t="str">
        <f>HYPERLINK("https://transparencia.cidesi.mx/comprobantes/2021/CQ2100718 /C2FACTURA $ 405.00.xml")</f>
        <v>https://transparencia.cidesi.mx/comprobantes/2021/CQ2100718 /C2FACTURA $ 405.00.xml</v>
      </c>
      <c r="AP633" t="s">
        <v>1187</v>
      </c>
      <c r="AQ633" t="s">
        <v>1187</v>
      </c>
      <c r="AR633" t="s">
        <v>1161</v>
      </c>
      <c r="AS633" t="s">
        <v>1170</v>
      </c>
      <c r="AT633" s="1">
        <v>44442</v>
      </c>
      <c r="AU633" s="1">
        <v>44452</v>
      </c>
    </row>
    <row r="634" spans="1:47" x14ac:dyDescent="0.3">
      <c r="A634" t="s">
        <v>1151</v>
      </c>
      <c r="B634" t="s">
        <v>182</v>
      </c>
      <c r="C634" t="s">
        <v>183</v>
      </c>
      <c r="D634">
        <v>685</v>
      </c>
      <c r="E634" t="s">
        <v>1152</v>
      </c>
      <c r="F634" t="s">
        <v>1153</v>
      </c>
      <c r="G634" t="s">
        <v>1154</v>
      </c>
      <c r="H634" t="s">
        <v>1188</v>
      </c>
      <c r="I634" t="s">
        <v>54</v>
      </c>
      <c r="J634" t="s">
        <v>1189</v>
      </c>
      <c r="K634" t="s">
        <v>56</v>
      </c>
      <c r="L634">
        <v>0</v>
      </c>
      <c r="M634" t="s">
        <v>73</v>
      </c>
      <c r="N634">
        <v>0</v>
      </c>
      <c r="O634" t="s">
        <v>58</v>
      </c>
      <c r="P634" t="s">
        <v>59</v>
      </c>
      <c r="Q634" t="s">
        <v>60</v>
      </c>
      <c r="R634" t="s">
        <v>1189</v>
      </c>
      <c r="S634" s="1">
        <v>44439</v>
      </c>
      <c r="T634" s="1">
        <v>44439</v>
      </c>
      <c r="U634">
        <v>37501</v>
      </c>
      <c r="V634" t="s">
        <v>61</v>
      </c>
      <c r="W634" t="s">
        <v>1190</v>
      </c>
      <c r="X634" s="1">
        <v>44441</v>
      </c>
      <c r="Y634" t="s">
        <v>63</v>
      </c>
      <c r="Z634">
        <v>155.16999999999999</v>
      </c>
      <c r="AA634">
        <v>16</v>
      </c>
      <c r="AB634">
        <v>24.83</v>
      </c>
      <c r="AC634">
        <v>18</v>
      </c>
      <c r="AD634">
        <v>198</v>
      </c>
      <c r="AE634">
        <v>511.5</v>
      </c>
      <c r="AF634">
        <v>545</v>
      </c>
      <c r="AG634" t="s">
        <v>1158</v>
      </c>
      <c r="AH634" t="s">
        <v>65</v>
      </c>
      <c r="AI634" t="s">
        <v>65</v>
      </c>
      <c r="AJ634" t="s">
        <v>66</v>
      </c>
      <c r="AK634" t="s">
        <v>66</v>
      </c>
      <c r="AL634" t="s">
        <v>66</v>
      </c>
      <c r="AM634" s="2" t="str">
        <f>HYPERLINK("https://transparencia.cidesi.mx/comprobantes/2021/CQ2100729 /C1factura$180.00.pdf")</f>
        <v>https://transparencia.cidesi.mx/comprobantes/2021/CQ2100729 /C1factura$180.00.pdf</v>
      </c>
      <c r="AN634" t="str">
        <f>HYPERLINK("https://transparencia.cidesi.mx/comprobantes/2021/CQ2100729 /C1factura$180.00.pdf")</f>
        <v>https://transparencia.cidesi.mx/comprobantes/2021/CQ2100729 /C1factura$180.00.pdf</v>
      </c>
      <c r="AO634" t="str">
        <f>HYPERLINK("https://transparencia.cidesi.mx/comprobantes/2021/CQ2100729 /C1factura $ 180.00.xml")</f>
        <v>https://transparencia.cidesi.mx/comprobantes/2021/CQ2100729 /C1factura $ 180.00.xml</v>
      </c>
      <c r="AP634" t="s">
        <v>1191</v>
      </c>
      <c r="AQ634" t="s">
        <v>1191</v>
      </c>
      <c r="AR634" t="s">
        <v>1161</v>
      </c>
      <c r="AS634" t="s">
        <v>1192</v>
      </c>
      <c r="AT634" s="1">
        <v>44442</v>
      </c>
      <c r="AU634" s="1">
        <v>44452</v>
      </c>
    </row>
    <row r="635" spans="1:47" x14ac:dyDescent="0.3">
      <c r="A635" t="s">
        <v>1151</v>
      </c>
      <c r="B635" t="s">
        <v>182</v>
      </c>
      <c r="C635" t="s">
        <v>183</v>
      </c>
      <c r="D635">
        <v>685</v>
      </c>
      <c r="E635" t="s">
        <v>1152</v>
      </c>
      <c r="F635" t="s">
        <v>1153</v>
      </c>
      <c r="G635" t="s">
        <v>1154</v>
      </c>
      <c r="H635" t="s">
        <v>1188</v>
      </c>
      <c r="I635" t="s">
        <v>54</v>
      </c>
      <c r="J635" t="s">
        <v>1189</v>
      </c>
      <c r="K635" t="s">
        <v>56</v>
      </c>
      <c r="L635">
        <v>0</v>
      </c>
      <c r="M635" t="s">
        <v>73</v>
      </c>
      <c r="N635">
        <v>0</v>
      </c>
      <c r="O635" t="s">
        <v>58</v>
      </c>
      <c r="P635" t="s">
        <v>59</v>
      </c>
      <c r="Q635" t="s">
        <v>60</v>
      </c>
      <c r="R635" t="s">
        <v>1189</v>
      </c>
      <c r="S635" s="1">
        <v>44439</v>
      </c>
      <c r="T635" s="1">
        <v>44439</v>
      </c>
      <c r="U635">
        <v>37501</v>
      </c>
      <c r="V635" t="s">
        <v>61</v>
      </c>
      <c r="W635" t="s">
        <v>1190</v>
      </c>
      <c r="X635" s="1">
        <v>44441</v>
      </c>
      <c r="Y635" t="s">
        <v>63</v>
      </c>
      <c r="Z635">
        <v>245.69</v>
      </c>
      <c r="AA635">
        <v>16</v>
      </c>
      <c r="AB635">
        <v>39.31</v>
      </c>
      <c r="AC635">
        <v>28.5</v>
      </c>
      <c r="AD635">
        <v>313.5</v>
      </c>
      <c r="AE635">
        <v>511.5</v>
      </c>
      <c r="AF635">
        <v>545</v>
      </c>
      <c r="AG635" t="s">
        <v>1158</v>
      </c>
      <c r="AH635" t="s">
        <v>65</v>
      </c>
      <c r="AI635" t="s">
        <v>65</v>
      </c>
      <c r="AJ635" t="s">
        <v>66</v>
      </c>
      <c r="AK635" t="s">
        <v>66</v>
      </c>
      <c r="AL635" t="s">
        <v>66</v>
      </c>
      <c r="AM635" s="2" t="str">
        <f>HYPERLINK("https://transparencia.cidesi.mx/comprobantes/2021/CQ2100729 /C2factura $ 285.00.pdf")</f>
        <v>https://transparencia.cidesi.mx/comprobantes/2021/CQ2100729 /C2factura $ 285.00.pdf</v>
      </c>
      <c r="AN635" t="str">
        <f>HYPERLINK("https://transparencia.cidesi.mx/comprobantes/2021/CQ2100729 /C2factura $ 285.00.pdf")</f>
        <v>https://transparencia.cidesi.mx/comprobantes/2021/CQ2100729 /C2factura $ 285.00.pdf</v>
      </c>
      <c r="AO635" t="str">
        <f>HYPERLINK("https://transparencia.cidesi.mx/comprobantes/2021/CQ2100729 /C2factura $285.00.xml")</f>
        <v>https://transparencia.cidesi.mx/comprobantes/2021/CQ2100729 /C2factura $285.00.xml</v>
      </c>
      <c r="AP635" t="s">
        <v>1191</v>
      </c>
      <c r="AQ635" t="s">
        <v>1191</v>
      </c>
      <c r="AR635" t="s">
        <v>1161</v>
      </c>
      <c r="AS635" t="s">
        <v>1192</v>
      </c>
      <c r="AT635" s="1">
        <v>44442</v>
      </c>
      <c r="AU635" s="1">
        <v>44452</v>
      </c>
    </row>
    <row r="636" spans="1:47" x14ac:dyDescent="0.3">
      <c r="A636" t="s">
        <v>1151</v>
      </c>
      <c r="B636" t="s">
        <v>182</v>
      </c>
      <c r="C636" t="s">
        <v>183</v>
      </c>
      <c r="D636">
        <v>685</v>
      </c>
      <c r="E636" t="s">
        <v>1152</v>
      </c>
      <c r="F636" t="s">
        <v>1153</v>
      </c>
      <c r="G636" t="s">
        <v>1154</v>
      </c>
      <c r="H636" t="s">
        <v>1193</v>
      </c>
      <c r="I636" t="s">
        <v>54</v>
      </c>
      <c r="J636" t="s">
        <v>1194</v>
      </c>
      <c r="K636" t="s">
        <v>56</v>
      </c>
      <c r="L636">
        <v>0</v>
      </c>
      <c r="M636" t="s">
        <v>73</v>
      </c>
      <c r="N636">
        <v>0</v>
      </c>
      <c r="O636" t="s">
        <v>58</v>
      </c>
      <c r="P636" t="s">
        <v>59</v>
      </c>
      <c r="Q636" t="s">
        <v>431</v>
      </c>
      <c r="R636" t="s">
        <v>1194</v>
      </c>
      <c r="S636" s="1">
        <v>44450</v>
      </c>
      <c r="T636" s="1">
        <v>44456</v>
      </c>
      <c r="U636">
        <v>37501</v>
      </c>
      <c r="V636" t="s">
        <v>104</v>
      </c>
      <c r="W636" t="s">
        <v>1195</v>
      </c>
      <c r="X636" s="1">
        <v>44459</v>
      </c>
      <c r="Y636" t="s">
        <v>207</v>
      </c>
      <c r="Z636">
        <v>1038.3499999999999</v>
      </c>
      <c r="AA636">
        <v>16</v>
      </c>
      <c r="AB636">
        <v>161.65</v>
      </c>
      <c r="AC636">
        <v>0</v>
      </c>
      <c r="AD636">
        <v>1200</v>
      </c>
      <c r="AE636">
        <v>7860.2</v>
      </c>
      <c r="AF636">
        <v>7988</v>
      </c>
      <c r="AG636" t="s">
        <v>1166</v>
      </c>
      <c r="AH636" t="s">
        <v>65</v>
      </c>
      <c r="AI636" t="s">
        <v>65</v>
      </c>
      <c r="AJ636" t="s">
        <v>66</v>
      </c>
      <c r="AK636" t="s">
        <v>66</v>
      </c>
      <c r="AL636" t="s">
        <v>66</v>
      </c>
      <c r="AM636" s="2" t="str">
        <f>HYPERLINK("https://transparencia.cidesi.mx/comprobantes/2021/CQ2100840 /C1FACTURA HOTEL  $ 1200.00.pdf")</f>
        <v>https://transparencia.cidesi.mx/comprobantes/2021/CQ2100840 /C1FACTURA HOTEL  $ 1200.00.pdf</v>
      </c>
      <c r="AN636" t="str">
        <f>HYPERLINK("https://transparencia.cidesi.mx/comprobantes/2021/CQ2100840 /C1FACTURA HOTEL  $ 1200.00.pdf")</f>
        <v>https://transparencia.cidesi.mx/comprobantes/2021/CQ2100840 /C1FACTURA HOTEL  $ 1200.00.pdf</v>
      </c>
      <c r="AO636" t="str">
        <f>HYPERLINK("https://transparencia.cidesi.mx/comprobantes/2021/CQ2100840 /C1FACTURA HOTEL $ 1200.00.xml")</f>
        <v>https://transparencia.cidesi.mx/comprobantes/2021/CQ2100840 /C1FACTURA HOTEL $ 1200.00.xml</v>
      </c>
      <c r="AP636" t="s">
        <v>1196</v>
      </c>
      <c r="AQ636" t="s">
        <v>1197</v>
      </c>
      <c r="AR636" t="s">
        <v>1169</v>
      </c>
      <c r="AS636" t="s">
        <v>1170</v>
      </c>
      <c r="AT636" s="1">
        <v>44462</v>
      </c>
      <c r="AU636" t="s">
        <v>73</v>
      </c>
    </row>
    <row r="637" spans="1:47" x14ac:dyDescent="0.3">
      <c r="A637" t="s">
        <v>1151</v>
      </c>
      <c r="B637" t="s">
        <v>182</v>
      </c>
      <c r="C637" t="s">
        <v>183</v>
      </c>
      <c r="D637">
        <v>685</v>
      </c>
      <c r="E637" t="s">
        <v>1152</v>
      </c>
      <c r="F637" t="s">
        <v>1153</v>
      </c>
      <c r="G637" t="s">
        <v>1154</v>
      </c>
      <c r="H637" t="s">
        <v>1193</v>
      </c>
      <c r="I637" t="s">
        <v>54</v>
      </c>
      <c r="J637" t="s">
        <v>1194</v>
      </c>
      <c r="K637" t="s">
        <v>56</v>
      </c>
      <c r="L637">
        <v>0</v>
      </c>
      <c r="M637" t="s">
        <v>73</v>
      </c>
      <c r="N637">
        <v>0</v>
      </c>
      <c r="O637" t="s">
        <v>58</v>
      </c>
      <c r="P637" t="s">
        <v>59</v>
      </c>
      <c r="Q637" t="s">
        <v>431</v>
      </c>
      <c r="R637" t="s">
        <v>1194</v>
      </c>
      <c r="S637" s="1">
        <v>44450</v>
      </c>
      <c r="T637" s="1">
        <v>44456</v>
      </c>
      <c r="U637">
        <v>37501</v>
      </c>
      <c r="V637" t="s">
        <v>104</v>
      </c>
      <c r="W637" t="s">
        <v>1195</v>
      </c>
      <c r="X637" s="1">
        <v>44459</v>
      </c>
      <c r="Y637" t="s">
        <v>207</v>
      </c>
      <c r="Z637">
        <v>632.4</v>
      </c>
      <c r="AA637">
        <v>16</v>
      </c>
      <c r="AB637">
        <v>99.2</v>
      </c>
      <c r="AC637">
        <v>0</v>
      </c>
      <c r="AD637">
        <v>731.6</v>
      </c>
      <c r="AE637">
        <v>7860.2</v>
      </c>
      <c r="AF637">
        <v>7988</v>
      </c>
      <c r="AG637" t="s">
        <v>1166</v>
      </c>
      <c r="AH637" t="s">
        <v>65</v>
      </c>
      <c r="AI637" t="s">
        <v>65</v>
      </c>
      <c r="AJ637" t="s">
        <v>66</v>
      </c>
      <c r="AK637" t="s">
        <v>66</v>
      </c>
      <c r="AL637" t="s">
        <v>66</v>
      </c>
      <c r="AM637" s="2" t="str">
        <f>HYPERLINK("https://transparencia.cidesi.mx/comprobantes/2021/CQ2100840 /C2FACTURA HOTEL $ 731.60.pdf")</f>
        <v>https://transparencia.cidesi.mx/comprobantes/2021/CQ2100840 /C2FACTURA HOTEL $ 731.60.pdf</v>
      </c>
      <c r="AN637" t="str">
        <f>HYPERLINK("https://transparencia.cidesi.mx/comprobantes/2021/CQ2100840 /C2FACTURA HOTEL $ 731.60.pdf")</f>
        <v>https://transparencia.cidesi.mx/comprobantes/2021/CQ2100840 /C2FACTURA HOTEL $ 731.60.pdf</v>
      </c>
      <c r="AO637" t="str">
        <f>HYPERLINK("https://transparencia.cidesi.mx/comprobantes/2021/CQ2100840 /C2FACTURA HOTEL $ 731.60.xml")</f>
        <v>https://transparencia.cidesi.mx/comprobantes/2021/CQ2100840 /C2FACTURA HOTEL $ 731.60.xml</v>
      </c>
      <c r="AP637" t="s">
        <v>1196</v>
      </c>
      <c r="AQ637" t="s">
        <v>1197</v>
      </c>
      <c r="AR637" t="s">
        <v>1169</v>
      </c>
      <c r="AS637" t="s">
        <v>1170</v>
      </c>
      <c r="AT637" s="1">
        <v>44462</v>
      </c>
      <c r="AU637" t="s">
        <v>73</v>
      </c>
    </row>
    <row r="638" spans="1:47" x14ac:dyDescent="0.3">
      <c r="A638" t="s">
        <v>1151</v>
      </c>
      <c r="B638" t="s">
        <v>182</v>
      </c>
      <c r="C638" t="s">
        <v>183</v>
      </c>
      <c r="D638">
        <v>685</v>
      </c>
      <c r="E638" t="s">
        <v>1152</v>
      </c>
      <c r="F638" t="s">
        <v>1153</v>
      </c>
      <c r="G638" t="s">
        <v>1154</v>
      </c>
      <c r="H638" t="s">
        <v>1193</v>
      </c>
      <c r="I638" t="s">
        <v>54</v>
      </c>
      <c r="J638" t="s">
        <v>1194</v>
      </c>
      <c r="K638" t="s">
        <v>56</v>
      </c>
      <c r="L638">
        <v>0</v>
      </c>
      <c r="M638" t="s">
        <v>73</v>
      </c>
      <c r="N638">
        <v>0</v>
      </c>
      <c r="O638" t="s">
        <v>58</v>
      </c>
      <c r="P638" t="s">
        <v>59</v>
      </c>
      <c r="Q638" t="s">
        <v>431</v>
      </c>
      <c r="R638" t="s">
        <v>1194</v>
      </c>
      <c r="S638" s="1">
        <v>44450</v>
      </c>
      <c r="T638" s="1">
        <v>44456</v>
      </c>
      <c r="U638">
        <v>37501</v>
      </c>
      <c r="V638" t="s">
        <v>104</v>
      </c>
      <c r="W638" t="s">
        <v>1195</v>
      </c>
      <c r="X638" s="1">
        <v>44459</v>
      </c>
      <c r="Y638" t="s">
        <v>207</v>
      </c>
      <c r="Z638">
        <v>672.41</v>
      </c>
      <c r="AA638">
        <v>16</v>
      </c>
      <c r="AB638">
        <v>107.59</v>
      </c>
      <c r="AC638">
        <v>0</v>
      </c>
      <c r="AD638">
        <v>780</v>
      </c>
      <c r="AE638">
        <v>7860.2</v>
      </c>
      <c r="AF638">
        <v>7988</v>
      </c>
      <c r="AG638" t="s">
        <v>1166</v>
      </c>
      <c r="AH638" t="s">
        <v>65</v>
      </c>
      <c r="AI638" t="s">
        <v>65</v>
      </c>
      <c r="AJ638" t="s">
        <v>66</v>
      </c>
      <c r="AK638" t="s">
        <v>66</v>
      </c>
      <c r="AL638" t="s">
        <v>66</v>
      </c>
      <c r="AM638" s="2" t="str">
        <f>HYPERLINK("https://transparencia.cidesi.mx/comprobantes/2021/CQ2100840 /C3FACTURA HOTEL $780.00.pdf")</f>
        <v>https://transparencia.cidesi.mx/comprobantes/2021/CQ2100840 /C3FACTURA HOTEL $780.00.pdf</v>
      </c>
      <c r="AN638" t="str">
        <f>HYPERLINK("https://transparencia.cidesi.mx/comprobantes/2021/CQ2100840 /C3FACTURA HOTEL $780.00.pdf")</f>
        <v>https://transparencia.cidesi.mx/comprobantes/2021/CQ2100840 /C3FACTURA HOTEL $780.00.pdf</v>
      </c>
      <c r="AO638" t="str">
        <f>HYPERLINK("https://transparencia.cidesi.mx/comprobantes/2021/CQ2100840 /C3FACTURA HOTEL $ 780.00.xml")</f>
        <v>https://transparencia.cidesi.mx/comprobantes/2021/CQ2100840 /C3FACTURA HOTEL $ 780.00.xml</v>
      </c>
      <c r="AP638" t="s">
        <v>1196</v>
      </c>
      <c r="AQ638" t="s">
        <v>1197</v>
      </c>
      <c r="AR638" t="s">
        <v>1169</v>
      </c>
      <c r="AS638" t="s">
        <v>1170</v>
      </c>
      <c r="AT638" s="1">
        <v>44462</v>
      </c>
      <c r="AU638" t="s">
        <v>73</v>
      </c>
    </row>
    <row r="639" spans="1:47" x14ac:dyDescent="0.3">
      <c r="A639" t="s">
        <v>1151</v>
      </c>
      <c r="B639" t="s">
        <v>182</v>
      </c>
      <c r="C639" t="s">
        <v>183</v>
      </c>
      <c r="D639">
        <v>685</v>
      </c>
      <c r="E639" t="s">
        <v>1152</v>
      </c>
      <c r="F639" t="s">
        <v>1153</v>
      </c>
      <c r="G639" t="s">
        <v>1154</v>
      </c>
      <c r="H639" t="s">
        <v>1193</v>
      </c>
      <c r="I639" t="s">
        <v>54</v>
      </c>
      <c r="J639" t="s">
        <v>1194</v>
      </c>
      <c r="K639" t="s">
        <v>56</v>
      </c>
      <c r="L639">
        <v>0</v>
      </c>
      <c r="M639" t="s">
        <v>73</v>
      </c>
      <c r="N639">
        <v>0</v>
      </c>
      <c r="O639" t="s">
        <v>58</v>
      </c>
      <c r="P639" t="s">
        <v>59</v>
      </c>
      <c r="Q639" t="s">
        <v>431</v>
      </c>
      <c r="R639" t="s">
        <v>1194</v>
      </c>
      <c r="S639" s="1">
        <v>44450</v>
      </c>
      <c r="T639" s="1">
        <v>44456</v>
      </c>
      <c r="U639">
        <v>37501</v>
      </c>
      <c r="V639" t="s">
        <v>104</v>
      </c>
      <c r="W639" t="s">
        <v>1195</v>
      </c>
      <c r="X639" s="1">
        <v>44459</v>
      </c>
      <c r="Y639" t="s">
        <v>207</v>
      </c>
      <c r="Z639">
        <v>623.19000000000005</v>
      </c>
      <c r="AA639">
        <v>16</v>
      </c>
      <c r="AB639">
        <v>96.81</v>
      </c>
      <c r="AC639">
        <v>0</v>
      </c>
      <c r="AD639">
        <v>720</v>
      </c>
      <c r="AE639">
        <v>7860.2</v>
      </c>
      <c r="AF639">
        <v>7988</v>
      </c>
      <c r="AG639" t="s">
        <v>1166</v>
      </c>
      <c r="AH639" t="s">
        <v>65</v>
      </c>
      <c r="AI639" t="s">
        <v>65</v>
      </c>
      <c r="AJ639" t="s">
        <v>66</v>
      </c>
      <c r="AK639" t="s">
        <v>66</v>
      </c>
      <c r="AL639" t="s">
        <v>66</v>
      </c>
      <c r="AM639" s="2" t="str">
        <f>HYPERLINK("https://transparencia.cidesi.mx/comprobantes/2021/CQ2100840 /C4HOTEL VISTA INN $ 720.00.pdf")</f>
        <v>https://transparencia.cidesi.mx/comprobantes/2021/CQ2100840 /C4HOTEL VISTA INN $ 720.00.pdf</v>
      </c>
      <c r="AN639" t="str">
        <f>HYPERLINK("https://transparencia.cidesi.mx/comprobantes/2021/CQ2100840 /C4HOTEL VISTA INN $ 720.00.pdf")</f>
        <v>https://transparencia.cidesi.mx/comprobantes/2021/CQ2100840 /C4HOTEL VISTA INN $ 720.00.pdf</v>
      </c>
      <c r="AO639" t="str">
        <f>HYPERLINK("https://transparencia.cidesi.mx/comprobantes/2021/CQ2100840 /C4HOTEL VISTA INN $ 720.00.xml")</f>
        <v>https://transparencia.cidesi.mx/comprobantes/2021/CQ2100840 /C4HOTEL VISTA INN $ 720.00.xml</v>
      </c>
      <c r="AP639" t="s">
        <v>1196</v>
      </c>
      <c r="AQ639" t="s">
        <v>1197</v>
      </c>
      <c r="AR639" t="s">
        <v>1169</v>
      </c>
      <c r="AS639" t="s">
        <v>1170</v>
      </c>
      <c r="AT639" s="1">
        <v>44462</v>
      </c>
      <c r="AU639" t="s">
        <v>73</v>
      </c>
    </row>
    <row r="640" spans="1:47" x14ac:dyDescent="0.3">
      <c r="A640" t="s">
        <v>1151</v>
      </c>
      <c r="B640" t="s">
        <v>182</v>
      </c>
      <c r="C640" t="s">
        <v>183</v>
      </c>
      <c r="D640">
        <v>685</v>
      </c>
      <c r="E640" t="s">
        <v>1152</v>
      </c>
      <c r="F640" t="s">
        <v>1153</v>
      </c>
      <c r="G640" t="s">
        <v>1154</v>
      </c>
      <c r="H640" t="s">
        <v>1193</v>
      </c>
      <c r="I640" t="s">
        <v>54</v>
      </c>
      <c r="J640" t="s">
        <v>1194</v>
      </c>
      <c r="K640" t="s">
        <v>56</v>
      </c>
      <c r="L640">
        <v>0</v>
      </c>
      <c r="M640" t="s">
        <v>73</v>
      </c>
      <c r="N640">
        <v>0</v>
      </c>
      <c r="O640" t="s">
        <v>58</v>
      </c>
      <c r="P640" t="s">
        <v>59</v>
      </c>
      <c r="Q640" t="s">
        <v>431</v>
      </c>
      <c r="R640" t="s">
        <v>1194</v>
      </c>
      <c r="S640" s="1">
        <v>44450</v>
      </c>
      <c r="T640" s="1">
        <v>44456</v>
      </c>
      <c r="U640">
        <v>37501</v>
      </c>
      <c r="V640" t="s">
        <v>104</v>
      </c>
      <c r="W640" t="s">
        <v>1195</v>
      </c>
      <c r="X640" s="1">
        <v>44459</v>
      </c>
      <c r="Y640" t="s">
        <v>207</v>
      </c>
      <c r="Z640">
        <v>604.22</v>
      </c>
      <c r="AA640">
        <v>16</v>
      </c>
      <c r="AB640">
        <v>94.78</v>
      </c>
      <c r="AC640">
        <v>0</v>
      </c>
      <c r="AD640">
        <v>699</v>
      </c>
      <c r="AE640">
        <v>7860.2</v>
      </c>
      <c r="AF640">
        <v>7988</v>
      </c>
      <c r="AG640" t="s">
        <v>1166</v>
      </c>
      <c r="AH640" t="s">
        <v>65</v>
      </c>
      <c r="AI640" t="s">
        <v>65</v>
      </c>
      <c r="AJ640" t="s">
        <v>66</v>
      </c>
      <c r="AK640" t="s">
        <v>66</v>
      </c>
      <c r="AL640" t="s">
        <v>66</v>
      </c>
      <c r="AM640" s="2" t="str">
        <f>HYPERLINK("https://transparencia.cidesi.mx/comprobantes/2021/CQ2100840 /C5FACTURA HOTEL $ 699.00.pdf")</f>
        <v>https://transparencia.cidesi.mx/comprobantes/2021/CQ2100840 /C5FACTURA HOTEL $ 699.00.pdf</v>
      </c>
      <c r="AN640" t="str">
        <f>HYPERLINK("https://transparencia.cidesi.mx/comprobantes/2021/CQ2100840 /C5FACTURA HOTEL $ 699.00.pdf")</f>
        <v>https://transparencia.cidesi.mx/comprobantes/2021/CQ2100840 /C5FACTURA HOTEL $ 699.00.pdf</v>
      </c>
      <c r="AO640" t="str">
        <f>HYPERLINK("https://transparencia.cidesi.mx/comprobantes/2021/CQ2100840 /C5FACTURA HOTEL $ 699.00.xml")</f>
        <v>https://transparencia.cidesi.mx/comprobantes/2021/CQ2100840 /C5FACTURA HOTEL $ 699.00.xml</v>
      </c>
      <c r="AP640" t="s">
        <v>1196</v>
      </c>
      <c r="AQ640" t="s">
        <v>1197</v>
      </c>
      <c r="AR640" t="s">
        <v>1169</v>
      </c>
      <c r="AS640" t="s">
        <v>1170</v>
      </c>
      <c r="AT640" s="1">
        <v>44462</v>
      </c>
      <c r="AU640" t="s">
        <v>73</v>
      </c>
    </row>
    <row r="641" spans="1:47" x14ac:dyDescent="0.3">
      <c r="A641" t="s">
        <v>1151</v>
      </c>
      <c r="B641" t="s">
        <v>182</v>
      </c>
      <c r="C641" t="s">
        <v>183</v>
      </c>
      <c r="D641">
        <v>685</v>
      </c>
      <c r="E641" t="s">
        <v>1152</v>
      </c>
      <c r="F641" t="s">
        <v>1153</v>
      </c>
      <c r="G641" t="s">
        <v>1154</v>
      </c>
      <c r="H641" t="s">
        <v>1193</v>
      </c>
      <c r="I641" t="s">
        <v>54</v>
      </c>
      <c r="J641" t="s">
        <v>1194</v>
      </c>
      <c r="K641" t="s">
        <v>56</v>
      </c>
      <c r="L641">
        <v>0</v>
      </c>
      <c r="M641" t="s">
        <v>73</v>
      </c>
      <c r="N641">
        <v>0</v>
      </c>
      <c r="O641" t="s">
        <v>58</v>
      </c>
      <c r="P641" t="s">
        <v>59</v>
      </c>
      <c r="Q641" t="s">
        <v>431</v>
      </c>
      <c r="R641" t="s">
        <v>1194</v>
      </c>
      <c r="S641" s="1">
        <v>44450</v>
      </c>
      <c r="T641" s="1">
        <v>44456</v>
      </c>
      <c r="U641">
        <v>37501</v>
      </c>
      <c r="V641" t="s">
        <v>61</v>
      </c>
      <c r="W641" t="s">
        <v>1195</v>
      </c>
      <c r="X641" s="1">
        <v>44459</v>
      </c>
      <c r="Y641" t="s">
        <v>207</v>
      </c>
      <c r="Z641">
        <v>341.38</v>
      </c>
      <c r="AA641">
        <v>16</v>
      </c>
      <c r="AB641">
        <v>54.62</v>
      </c>
      <c r="AC641">
        <v>39.6</v>
      </c>
      <c r="AD641">
        <v>435.6</v>
      </c>
      <c r="AE641">
        <v>7860.2</v>
      </c>
      <c r="AF641">
        <v>7988</v>
      </c>
      <c r="AG641" t="s">
        <v>1158</v>
      </c>
      <c r="AH641" t="s">
        <v>65</v>
      </c>
      <c r="AI641" t="s">
        <v>65</v>
      </c>
      <c r="AJ641" t="s">
        <v>66</v>
      </c>
      <c r="AK641" t="s">
        <v>66</v>
      </c>
      <c r="AL641" t="s">
        <v>66</v>
      </c>
      <c r="AM641" s="2" t="str">
        <f>HYPERLINK("https://transparencia.cidesi.mx/comprobantes/2021/CQ2100840 /C6FACTURA $ 396.00.pdf")</f>
        <v>https://transparencia.cidesi.mx/comprobantes/2021/CQ2100840 /C6FACTURA $ 396.00.pdf</v>
      </c>
      <c r="AN641" t="str">
        <f>HYPERLINK("https://transparencia.cidesi.mx/comprobantes/2021/CQ2100840 /C6FACTURA $ 396.00.pdf")</f>
        <v>https://transparencia.cidesi.mx/comprobantes/2021/CQ2100840 /C6FACTURA $ 396.00.pdf</v>
      </c>
      <c r="AO641" t="str">
        <f>HYPERLINK("https://transparencia.cidesi.mx/comprobantes/2021/CQ2100840 /C6FACTURA $ 396.00.xml")</f>
        <v>https://transparencia.cidesi.mx/comprobantes/2021/CQ2100840 /C6FACTURA $ 396.00.xml</v>
      </c>
      <c r="AP641" t="s">
        <v>1196</v>
      </c>
      <c r="AQ641" t="s">
        <v>1197</v>
      </c>
      <c r="AR641" t="s">
        <v>1169</v>
      </c>
      <c r="AS641" t="s">
        <v>1170</v>
      </c>
      <c r="AT641" s="1">
        <v>44462</v>
      </c>
      <c r="AU641" t="s">
        <v>73</v>
      </c>
    </row>
    <row r="642" spans="1:47" x14ac:dyDescent="0.3">
      <c r="A642" t="s">
        <v>1151</v>
      </c>
      <c r="B642" t="s">
        <v>182</v>
      </c>
      <c r="C642" t="s">
        <v>183</v>
      </c>
      <c r="D642">
        <v>685</v>
      </c>
      <c r="E642" t="s">
        <v>1152</v>
      </c>
      <c r="F642" t="s">
        <v>1153</v>
      </c>
      <c r="G642" t="s">
        <v>1154</v>
      </c>
      <c r="H642" t="s">
        <v>1193</v>
      </c>
      <c r="I642" t="s">
        <v>54</v>
      </c>
      <c r="J642" t="s">
        <v>1194</v>
      </c>
      <c r="K642" t="s">
        <v>56</v>
      </c>
      <c r="L642">
        <v>0</v>
      </c>
      <c r="M642" t="s">
        <v>73</v>
      </c>
      <c r="N642">
        <v>0</v>
      </c>
      <c r="O642" t="s">
        <v>58</v>
      </c>
      <c r="P642" t="s">
        <v>59</v>
      </c>
      <c r="Q642" t="s">
        <v>431</v>
      </c>
      <c r="R642" t="s">
        <v>1194</v>
      </c>
      <c r="S642" s="1">
        <v>44450</v>
      </c>
      <c r="T642" s="1">
        <v>44456</v>
      </c>
      <c r="U642">
        <v>37501</v>
      </c>
      <c r="V642" t="s">
        <v>61</v>
      </c>
      <c r="W642" t="s">
        <v>1195</v>
      </c>
      <c r="X642" s="1">
        <v>44459</v>
      </c>
      <c r="Y642" t="s">
        <v>207</v>
      </c>
      <c r="Z642">
        <v>273.70999999999998</v>
      </c>
      <c r="AA642">
        <v>16</v>
      </c>
      <c r="AB642">
        <v>43.79</v>
      </c>
      <c r="AC642">
        <v>31.75</v>
      </c>
      <c r="AD642">
        <v>349.25</v>
      </c>
      <c r="AE642">
        <v>7860.2</v>
      </c>
      <c r="AF642">
        <v>7988</v>
      </c>
      <c r="AG642" t="s">
        <v>1158</v>
      </c>
      <c r="AH642" t="s">
        <v>65</v>
      </c>
      <c r="AI642" t="s">
        <v>65</v>
      </c>
      <c r="AJ642" t="s">
        <v>66</v>
      </c>
      <c r="AK642" t="s">
        <v>66</v>
      </c>
      <c r="AL642" t="s">
        <v>66</v>
      </c>
      <c r="AM642" s="2" t="str">
        <f>HYPERLINK("https://transparencia.cidesi.mx/comprobantes/2021/CQ2100840 /C7FACTURA CONSUMO $317.50.pdf")</f>
        <v>https://transparencia.cidesi.mx/comprobantes/2021/CQ2100840 /C7FACTURA CONSUMO $317.50.pdf</v>
      </c>
      <c r="AN642" t="str">
        <f>HYPERLINK("https://transparencia.cidesi.mx/comprobantes/2021/CQ2100840 /C7FACTURA CONSUMO $317.50.pdf")</f>
        <v>https://transparencia.cidesi.mx/comprobantes/2021/CQ2100840 /C7FACTURA CONSUMO $317.50.pdf</v>
      </c>
      <c r="AO642" t="str">
        <f>HYPERLINK("https://transparencia.cidesi.mx/comprobantes/2021/CQ2100840 /C7FACTURA CONSUMO $ 317.50.xml")</f>
        <v>https://transparencia.cidesi.mx/comprobantes/2021/CQ2100840 /C7FACTURA CONSUMO $ 317.50.xml</v>
      </c>
      <c r="AP642" t="s">
        <v>1196</v>
      </c>
      <c r="AQ642" t="s">
        <v>1197</v>
      </c>
      <c r="AR642" t="s">
        <v>1169</v>
      </c>
      <c r="AS642" t="s">
        <v>1170</v>
      </c>
      <c r="AT642" s="1">
        <v>44462</v>
      </c>
      <c r="AU642" t="s">
        <v>73</v>
      </c>
    </row>
    <row r="643" spans="1:47" x14ac:dyDescent="0.3">
      <c r="A643" t="s">
        <v>1151</v>
      </c>
      <c r="B643" t="s">
        <v>182</v>
      </c>
      <c r="C643" t="s">
        <v>183</v>
      </c>
      <c r="D643">
        <v>685</v>
      </c>
      <c r="E643" t="s">
        <v>1152</v>
      </c>
      <c r="F643" t="s">
        <v>1153</v>
      </c>
      <c r="G643" t="s">
        <v>1154</v>
      </c>
      <c r="H643" t="s">
        <v>1193</v>
      </c>
      <c r="I643" t="s">
        <v>54</v>
      </c>
      <c r="J643" t="s">
        <v>1194</v>
      </c>
      <c r="K643" t="s">
        <v>56</v>
      </c>
      <c r="L643">
        <v>0</v>
      </c>
      <c r="M643" t="s">
        <v>73</v>
      </c>
      <c r="N643">
        <v>0</v>
      </c>
      <c r="O643" t="s">
        <v>58</v>
      </c>
      <c r="P643" t="s">
        <v>59</v>
      </c>
      <c r="Q643" t="s">
        <v>431</v>
      </c>
      <c r="R643" t="s">
        <v>1194</v>
      </c>
      <c r="S643" s="1">
        <v>44450</v>
      </c>
      <c r="T643" s="1">
        <v>44456</v>
      </c>
      <c r="U643">
        <v>37501</v>
      </c>
      <c r="V643" t="s">
        <v>61</v>
      </c>
      <c r="W643" t="s">
        <v>1195</v>
      </c>
      <c r="X643" s="1">
        <v>44459</v>
      </c>
      <c r="Y643" t="s">
        <v>207</v>
      </c>
      <c r="Z643">
        <v>201.72</v>
      </c>
      <c r="AA643">
        <v>16</v>
      </c>
      <c r="AB643">
        <v>32.28</v>
      </c>
      <c r="AC643">
        <v>23</v>
      </c>
      <c r="AD643">
        <v>257</v>
      </c>
      <c r="AE643">
        <v>7860.2</v>
      </c>
      <c r="AF643">
        <v>7988</v>
      </c>
      <c r="AG643" t="s">
        <v>1158</v>
      </c>
      <c r="AH643" t="s">
        <v>65</v>
      </c>
      <c r="AI643" t="s">
        <v>65</v>
      </c>
      <c r="AJ643" t="s">
        <v>66</v>
      </c>
      <c r="AK643" t="s">
        <v>66</v>
      </c>
      <c r="AL643" t="s">
        <v>66</v>
      </c>
      <c r="AM643" s="2" t="str">
        <f>HYPERLINK("https://transparencia.cidesi.mx/comprobantes/2021/CQ2100840 /C8FACTURA CONSUMO $ 234.00.pdf")</f>
        <v>https://transparencia.cidesi.mx/comprobantes/2021/CQ2100840 /C8FACTURA CONSUMO $ 234.00.pdf</v>
      </c>
      <c r="AN643" t="str">
        <f>HYPERLINK("https://transparencia.cidesi.mx/comprobantes/2021/CQ2100840 /C8FACTURA CONSUMO $ 234.00.pdf")</f>
        <v>https://transparencia.cidesi.mx/comprobantes/2021/CQ2100840 /C8FACTURA CONSUMO $ 234.00.pdf</v>
      </c>
      <c r="AO643" t="str">
        <f>HYPERLINK("https://transparencia.cidesi.mx/comprobantes/2021/CQ2100840 /C8FACTURA CONSUMO $ 234.00.xml")</f>
        <v>https://transparencia.cidesi.mx/comprobantes/2021/CQ2100840 /C8FACTURA CONSUMO $ 234.00.xml</v>
      </c>
      <c r="AP643" t="s">
        <v>1196</v>
      </c>
      <c r="AQ643" t="s">
        <v>1197</v>
      </c>
      <c r="AR643" t="s">
        <v>1169</v>
      </c>
      <c r="AS643" t="s">
        <v>1170</v>
      </c>
      <c r="AT643" s="1">
        <v>44462</v>
      </c>
      <c r="AU643" t="s">
        <v>73</v>
      </c>
    </row>
    <row r="644" spans="1:47" x14ac:dyDescent="0.3">
      <c r="A644" t="s">
        <v>1151</v>
      </c>
      <c r="B644" t="s">
        <v>182</v>
      </c>
      <c r="C644" t="s">
        <v>183</v>
      </c>
      <c r="D644">
        <v>685</v>
      </c>
      <c r="E644" t="s">
        <v>1152</v>
      </c>
      <c r="F644" t="s">
        <v>1153</v>
      </c>
      <c r="G644" t="s">
        <v>1154</v>
      </c>
      <c r="H644" t="s">
        <v>1193</v>
      </c>
      <c r="I644" t="s">
        <v>54</v>
      </c>
      <c r="J644" t="s">
        <v>1194</v>
      </c>
      <c r="K644" t="s">
        <v>56</v>
      </c>
      <c r="L644">
        <v>0</v>
      </c>
      <c r="M644" t="s">
        <v>73</v>
      </c>
      <c r="N644">
        <v>0</v>
      </c>
      <c r="O644" t="s">
        <v>58</v>
      </c>
      <c r="P644" t="s">
        <v>59</v>
      </c>
      <c r="Q644" t="s">
        <v>431</v>
      </c>
      <c r="R644" t="s">
        <v>1194</v>
      </c>
      <c r="S644" s="1">
        <v>44450</v>
      </c>
      <c r="T644" s="1">
        <v>44456</v>
      </c>
      <c r="U644">
        <v>37501</v>
      </c>
      <c r="V644" t="s">
        <v>61</v>
      </c>
      <c r="W644" t="s">
        <v>1195</v>
      </c>
      <c r="X644" s="1">
        <v>44459</v>
      </c>
      <c r="Y644" t="s">
        <v>207</v>
      </c>
      <c r="Z644">
        <v>251.72</v>
      </c>
      <c r="AA644">
        <v>16</v>
      </c>
      <c r="AB644">
        <v>40.28</v>
      </c>
      <c r="AC644">
        <v>0</v>
      </c>
      <c r="AD644">
        <v>292</v>
      </c>
      <c r="AE644">
        <v>7860.2</v>
      </c>
      <c r="AF644">
        <v>7988</v>
      </c>
      <c r="AG644" t="s">
        <v>1158</v>
      </c>
      <c r="AH644" t="s">
        <v>65</v>
      </c>
      <c r="AI644" t="s">
        <v>65</v>
      </c>
      <c r="AJ644" t="s">
        <v>66</v>
      </c>
      <c r="AK644" t="s">
        <v>66</v>
      </c>
      <c r="AL644" t="s">
        <v>66</v>
      </c>
      <c r="AM644" s="2" t="str">
        <f>HYPERLINK("https://transparencia.cidesi.mx/comprobantes/2021/CQ2100840 /C9FACTURA CONSUMO $ 292.00.pdf")</f>
        <v>https://transparencia.cidesi.mx/comprobantes/2021/CQ2100840 /C9FACTURA CONSUMO $ 292.00.pdf</v>
      </c>
      <c r="AN644" t="str">
        <f>HYPERLINK("https://transparencia.cidesi.mx/comprobantes/2021/CQ2100840 /C9FACTURA CONSUMO $ 292.00.pdf")</f>
        <v>https://transparencia.cidesi.mx/comprobantes/2021/CQ2100840 /C9FACTURA CONSUMO $ 292.00.pdf</v>
      </c>
      <c r="AO644" t="str">
        <f>HYPERLINK("https://transparencia.cidesi.mx/comprobantes/2021/CQ2100840 /C9FACTURA CONSUMO $ 292.00.xml")</f>
        <v>https://transparencia.cidesi.mx/comprobantes/2021/CQ2100840 /C9FACTURA CONSUMO $ 292.00.xml</v>
      </c>
      <c r="AP644" t="s">
        <v>1196</v>
      </c>
      <c r="AQ644" t="s">
        <v>1197</v>
      </c>
      <c r="AR644" t="s">
        <v>1169</v>
      </c>
      <c r="AS644" t="s">
        <v>1170</v>
      </c>
      <c r="AT644" s="1">
        <v>44462</v>
      </c>
      <c r="AU644" t="s">
        <v>73</v>
      </c>
    </row>
    <row r="645" spans="1:47" x14ac:dyDescent="0.3">
      <c r="A645" t="s">
        <v>1151</v>
      </c>
      <c r="B645" t="s">
        <v>182</v>
      </c>
      <c r="C645" t="s">
        <v>183</v>
      </c>
      <c r="D645">
        <v>685</v>
      </c>
      <c r="E645" t="s">
        <v>1152</v>
      </c>
      <c r="F645" t="s">
        <v>1153</v>
      </c>
      <c r="G645" t="s">
        <v>1154</v>
      </c>
      <c r="H645" t="s">
        <v>1193</v>
      </c>
      <c r="I645" t="s">
        <v>54</v>
      </c>
      <c r="J645" t="s">
        <v>1194</v>
      </c>
      <c r="K645" t="s">
        <v>56</v>
      </c>
      <c r="L645">
        <v>0</v>
      </c>
      <c r="M645" t="s">
        <v>73</v>
      </c>
      <c r="N645">
        <v>0</v>
      </c>
      <c r="O645" t="s">
        <v>58</v>
      </c>
      <c r="P645" t="s">
        <v>59</v>
      </c>
      <c r="Q645" t="s">
        <v>431</v>
      </c>
      <c r="R645" t="s">
        <v>1194</v>
      </c>
      <c r="S645" s="1">
        <v>44450</v>
      </c>
      <c r="T645" s="1">
        <v>44456</v>
      </c>
      <c r="U645">
        <v>37501</v>
      </c>
      <c r="V645" t="s">
        <v>61</v>
      </c>
      <c r="W645" t="s">
        <v>1195</v>
      </c>
      <c r="X645" s="1">
        <v>44459</v>
      </c>
      <c r="Y645" t="s">
        <v>207</v>
      </c>
      <c r="Z645">
        <v>306.47000000000003</v>
      </c>
      <c r="AA645">
        <v>16</v>
      </c>
      <c r="AB645">
        <v>49.03</v>
      </c>
      <c r="AC645">
        <v>35.549999999999997</v>
      </c>
      <c r="AD645">
        <v>391.05</v>
      </c>
      <c r="AE645">
        <v>7860.2</v>
      </c>
      <c r="AF645">
        <v>7988</v>
      </c>
      <c r="AG645" t="s">
        <v>1158</v>
      </c>
      <c r="AH645" t="s">
        <v>65</v>
      </c>
      <c r="AI645" t="s">
        <v>65</v>
      </c>
      <c r="AJ645" t="s">
        <v>66</v>
      </c>
      <c r="AK645" t="s">
        <v>66</v>
      </c>
      <c r="AL645" t="s">
        <v>66</v>
      </c>
      <c r="AM645" s="2" t="str">
        <f>HYPERLINK("https://transparencia.cidesi.mx/comprobantes/2021/CQ2100840 /C10FACTURA CONSUMO$ 355.50.pdf")</f>
        <v>https://transparencia.cidesi.mx/comprobantes/2021/CQ2100840 /C10FACTURA CONSUMO$ 355.50.pdf</v>
      </c>
      <c r="AN645" t="str">
        <f>HYPERLINK("https://transparencia.cidesi.mx/comprobantes/2021/CQ2100840 /C10FACTURA CONSUMO$ 355.50.pdf")</f>
        <v>https://transparencia.cidesi.mx/comprobantes/2021/CQ2100840 /C10FACTURA CONSUMO$ 355.50.pdf</v>
      </c>
      <c r="AO645" t="str">
        <f>HYPERLINK("https://transparencia.cidesi.mx/comprobantes/2021/CQ2100840 /C10FACTURA $ 355.50.xml")</f>
        <v>https://transparencia.cidesi.mx/comprobantes/2021/CQ2100840 /C10FACTURA $ 355.50.xml</v>
      </c>
      <c r="AP645" t="s">
        <v>1196</v>
      </c>
      <c r="AQ645" t="s">
        <v>1197</v>
      </c>
      <c r="AR645" t="s">
        <v>1169</v>
      </c>
      <c r="AS645" t="s">
        <v>1170</v>
      </c>
      <c r="AT645" s="1">
        <v>44462</v>
      </c>
      <c r="AU645" t="s">
        <v>73</v>
      </c>
    </row>
    <row r="646" spans="1:47" x14ac:dyDescent="0.3">
      <c r="A646" t="s">
        <v>1151</v>
      </c>
      <c r="B646" t="s">
        <v>182</v>
      </c>
      <c r="C646" t="s">
        <v>183</v>
      </c>
      <c r="D646">
        <v>685</v>
      </c>
      <c r="E646" t="s">
        <v>1152</v>
      </c>
      <c r="F646" t="s">
        <v>1153</v>
      </c>
      <c r="G646" t="s">
        <v>1154</v>
      </c>
      <c r="H646" t="s">
        <v>1193</v>
      </c>
      <c r="I646" t="s">
        <v>54</v>
      </c>
      <c r="J646" t="s">
        <v>1194</v>
      </c>
      <c r="K646" t="s">
        <v>56</v>
      </c>
      <c r="L646">
        <v>0</v>
      </c>
      <c r="M646" t="s">
        <v>73</v>
      </c>
      <c r="N646">
        <v>0</v>
      </c>
      <c r="O646" t="s">
        <v>58</v>
      </c>
      <c r="P646" t="s">
        <v>59</v>
      </c>
      <c r="Q646" t="s">
        <v>431</v>
      </c>
      <c r="R646" t="s">
        <v>1194</v>
      </c>
      <c r="S646" s="1">
        <v>44450</v>
      </c>
      <c r="T646" s="1">
        <v>44456</v>
      </c>
      <c r="U646">
        <v>37501</v>
      </c>
      <c r="V646" t="s">
        <v>61</v>
      </c>
      <c r="W646" t="s">
        <v>1195</v>
      </c>
      <c r="X646" s="1">
        <v>44459</v>
      </c>
      <c r="Y646" t="s">
        <v>207</v>
      </c>
      <c r="Z646">
        <v>204.31</v>
      </c>
      <c r="AA646">
        <v>16</v>
      </c>
      <c r="AB646">
        <v>32.69</v>
      </c>
      <c r="AC646">
        <v>0</v>
      </c>
      <c r="AD646">
        <v>237</v>
      </c>
      <c r="AE646">
        <v>7860.2</v>
      </c>
      <c r="AF646">
        <v>7988</v>
      </c>
      <c r="AG646" t="s">
        <v>1158</v>
      </c>
      <c r="AH646" t="s">
        <v>65</v>
      </c>
      <c r="AI646" t="s">
        <v>65</v>
      </c>
      <c r="AJ646" t="s">
        <v>66</v>
      </c>
      <c r="AK646" t="s">
        <v>66</v>
      </c>
      <c r="AL646" t="s">
        <v>66</v>
      </c>
      <c r="AM646" s="2" t="str">
        <f>HYPERLINK("https://transparencia.cidesi.mx/comprobantes/2021/CQ2100840 /C11FACTURA PICHANCHAS $ 237.00.pdf")</f>
        <v>https://transparencia.cidesi.mx/comprobantes/2021/CQ2100840 /C11FACTURA PICHANCHAS $ 237.00.pdf</v>
      </c>
      <c r="AN646" t="str">
        <f>HYPERLINK("https://transparencia.cidesi.mx/comprobantes/2021/CQ2100840 /C11FACTURA PICHANCHAS $ 237.00.pdf")</f>
        <v>https://transparencia.cidesi.mx/comprobantes/2021/CQ2100840 /C11FACTURA PICHANCHAS $ 237.00.pdf</v>
      </c>
      <c r="AO646" t="str">
        <f>HYPERLINK("https://transparencia.cidesi.mx/comprobantes/2021/CQ2100840 /C11FACTURA PICHANCHAS $ 237.00.xml")</f>
        <v>https://transparencia.cidesi.mx/comprobantes/2021/CQ2100840 /C11FACTURA PICHANCHAS $ 237.00.xml</v>
      </c>
      <c r="AP646" t="s">
        <v>1196</v>
      </c>
      <c r="AQ646" t="s">
        <v>1197</v>
      </c>
      <c r="AR646" t="s">
        <v>1169</v>
      </c>
      <c r="AS646" t="s">
        <v>1170</v>
      </c>
      <c r="AT646" s="1">
        <v>44462</v>
      </c>
      <c r="AU646" t="s">
        <v>73</v>
      </c>
    </row>
    <row r="647" spans="1:47" x14ac:dyDescent="0.3">
      <c r="A647" t="s">
        <v>1151</v>
      </c>
      <c r="B647" t="s">
        <v>182</v>
      </c>
      <c r="C647" t="s">
        <v>183</v>
      </c>
      <c r="D647">
        <v>685</v>
      </c>
      <c r="E647" t="s">
        <v>1152</v>
      </c>
      <c r="F647" t="s">
        <v>1153</v>
      </c>
      <c r="G647" t="s">
        <v>1154</v>
      </c>
      <c r="H647" t="s">
        <v>1193</v>
      </c>
      <c r="I647" t="s">
        <v>54</v>
      </c>
      <c r="J647" t="s">
        <v>1194</v>
      </c>
      <c r="K647" t="s">
        <v>56</v>
      </c>
      <c r="L647">
        <v>0</v>
      </c>
      <c r="M647" t="s">
        <v>73</v>
      </c>
      <c r="N647">
        <v>0</v>
      </c>
      <c r="O647" t="s">
        <v>58</v>
      </c>
      <c r="P647" t="s">
        <v>59</v>
      </c>
      <c r="Q647" t="s">
        <v>431</v>
      </c>
      <c r="R647" t="s">
        <v>1194</v>
      </c>
      <c r="S647" s="1">
        <v>44450</v>
      </c>
      <c r="T647" s="1">
        <v>44456</v>
      </c>
      <c r="U647">
        <v>37501</v>
      </c>
      <c r="V647" t="s">
        <v>61</v>
      </c>
      <c r="W647" t="s">
        <v>1195</v>
      </c>
      <c r="X647" s="1">
        <v>44459</v>
      </c>
      <c r="Y647" t="s">
        <v>207</v>
      </c>
      <c r="Z647">
        <v>247.41</v>
      </c>
      <c r="AA647">
        <v>16</v>
      </c>
      <c r="AB647">
        <v>39.590000000000003</v>
      </c>
      <c r="AC647">
        <v>0</v>
      </c>
      <c r="AD647">
        <v>287</v>
      </c>
      <c r="AE647">
        <v>7860.2</v>
      </c>
      <c r="AF647">
        <v>7988</v>
      </c>
      <c r="AG647" t="s">
        <v>1158</v>
      </c>
      <c r="AH647" t="s">
        <v>65</v>
      </c>
      <c r="AI647" t="s">
        <v>65</v>
      </c>
      <c r="AJ647" t="s">
        <v>66</v>
      </c>
      <c r="AK647" t="s">
        <v>66</v>
      </c>
      <c r="AL647" t="s">
        <v>66</v>
      </c>
      <c r="AM647" s="2" t="str">
        <f>HYPERLINK("https://transparencia.cidesi.mx/comprobantes/2021/CQ2100840 /C12FACTURA CONSUMO $ 287.00.pdf")</f>
        <v>https://transparencia.cidesi.mx/comprobantes/2021/CQ2100840 /C12FACTURA CONSUMO $ 287.00.pdf</v>
      </c>
      <c r="AN647" t="str">
        <f>HYPERLINK("https://transparencia.cidesi.mx/comprobantes/2021/CQ2100840 /C12FACTURA CONSUMO $ 287.00.pdf")</f>
        <v>https://transparencia.cidesi.mx/comprobantes/2021/CQ2100840 /C12FACTURA CONSUMO $ 287.00.pdf</v>
      </c>
      <c r="AO647" t="str">
        <f>HYPERLINK("https://transparencia.cidesi.mx/comprobantes/2021/CQ2100840 /C12FACTURA $287.00.xml")</f>
        <v>https://transparencia.cidesi.mx/comprobantes/2021/CQ2100840 /C12FACTURA $287.00.xml</v>
      </c>
      <c r="AP647" t="s">
        <v>1196</v>
      </c>
      <c r="AQ647" t="s">
        <v>1197</v>
      </c>
      <c r="AR647" t="s">
        <v>1169</v>
      </c>
      <c r="AS647" t="s">
        <v>1170</v>
      </c>
      <c r="AT647" s="1">
        <v>44462</v>
      </c>
      <c r="AU647" t="s">
        <v>73</v>
      </c>
    </row>
    <row r="648" spans="1:47" x14ac:dyDescent="0.3">
      <c r="A648" t="s">
        <v>1151</v>
      </c>
      <c r="B648" t="s">
        <v>182</v>
      </c>
      <c r="C648" t="s">
        <v>183</v>
      </c>
      <c r="D648">
        <v>685</v>
      </c>
      <c r="E648" t="s">
        <v>1152</v>
      </c>
      <c r="F648" t="s">
        <v>1153</v>
      </c>
      <c r="G648" t="s">
        <v>1154</v>
      </c>
      <c r="H648" t="s">
        <v>1193</v>
      </c>
      <c r="I648" t="s">
        <v>54</v>
      </c>
      <c r="J648" t="s">
        <v>1194</v>
      </c>
      <c r="K648" t="s">
        <v>56</v>
      </c>
      <c r="L648">
        <v>0</v>
      </c>
      <c r="M648" t="s">
        <v>73</v>
      </c>
      <c r="N648">
        <v>0</v>
      </c>
      <c r="O648" t="s">
        <v>58</v>
      </c>
      <c r="P648" t="s">
        <v>59</v>
      </c>
      <c r="Q648" t="s">
        <v>431</v>
      </c>
      <c r="R648" t="s">
        <v>1194</v>
      </c>
      <c r="S648" s="1">
        <v>44450</v>
      </c>
      <c r="T648" s="1">
        <v>44456</v>
      </c>
      <c r="U648">
        <v>37501</v>
      </c>
      <c r="V648" t="s">
        <v>61</v>
      </c>
      <c r="W648" t="s">
        <v>1195</v>
      </c>
      <c r="X648" s="1">
        <v>44459</v>
      </c>
      <c r="Y648" t="s">
        <v>207</v>
      </c>
      <c r="Z648">
        <v>125.86</v>
      </c>
      <c r="AA648">
        <v>16</v>
      </c>
      <c r="AB648">
        <v>20.14</v>
      </c>
      <c r="AC648">
        <v>14.6</v>
      </c>
      <c r="AD648">
        <v>160.6</v>
      </c>
      <c r="AE648">
        <v>7860.2</v>
      </c>
      <c r="AF648">
        <v>7988</v>
      </c>
      <c r="AG648" t="s">
        <v>1158</v>
      </c>
      <c r="AH648" t="s">
        <v>65</v>
      </c>
      <c r="AI648" t="s">
        <v>65</v>
      </c>
      <c r="AJ648" t="s">
        <v>66</v>
      </c>
      <c r="AK648" t="s">
        <v>66</v>
      </c>
      <c r="AL648" t="s">
        <v>66</v>
      </c>
      <c r="AM648" s="2" t="str">
        <f>HYPERLINK("https://transparencia.cidesi.mx/comprobantes/2021/CQ2100840 /C13FACTURA CONSUMO $ 146.00.pdf")</f>
        <v>https://transparencia.cidesi.mx/comprobantes/2021/CQ2100840 /C13FACTURA CONSUMO $ 146.00.pdf</v>
      </c>
      <c r="AN648" t="str">
        <f>HYPERLINK("https://transparencia.cidesi.mx/comprobantes/2021/CQ2100840 /C13FACTURA CONSUMO $ 146.00.pdf")</f>
        <v>https://transparencia.cidesi.mx/comprobantes/2021/CQ2100840 /C13FACTURA CONSUMO $ 146.00.pdf</v>
      </c>
      <c r="AO648" t="str">
        <f>HYPERLINK("https://transparencia.cidesi.mx/comprobantes/2021/CQ2100840 /C13FACTURA CONSUMO $ 146.00.xml")</f>
        <v>https://transparencia.cidesi.mx/comprobantes/2021/CQ2100840 /C13FACTURA CONSUMO $ 146.00.xml</v>
      </c>
      <c r="AP648" t="s">
        <v>1196</v>
      </c>
      <c r="AQ648" t="s">
        <v>1197</v>
      </c>
      <c r="AR648" t="s">
        <v>1169</v>
      </c>
      <c r="AS648" t="s">
        <v>1170</v>
      </c>
      <c r="AT648" s="1">
        <v>44462</v>
      </c>
      <c r="AU648" t="s">
        <v>73</v>
      </c>
    </row>
    <row r="649" spans="1:47" x14ac:dyDescent="0.3">
      <c r="A649" t="s">
        <v>1151</v>
      </c>
      <c r="B649" t="s">
        <v>182</v>
      </c>
      <c r="C649" t="s">
        <v>183</v>
      </c>
      <c r="D649">
        <v>685</v>
      </c>
      <c r="E649" t="s">
        <v>1152</v>
      </c>
      <c r="F649" t="s">
        <v>1153</v>
      </c>
      <c r="G649" t="s">
        <v>1154</v>
      </c>
      <c r="H649" t="s">
        <v>1193</v>
      </c>
      <c r="I649" t="s">
        <v>54</v>
      </c>
      <c r="J649" t="s">
        <v>1194</v>
      </c>
      <c r="K649" t="s">
        <v>56</v>
      </c>
      <c r="L649">
        <v>0</v>
      </c>
      <c r="M649" t="s">
        <v>73</v>
      </c>
      <c r="N649">
        <v>0</v>
      </c>
      <c r="O649" t="s">
        <v>58</v>
      </c>
      <c r="P649" t="s">
        <v>59</v>
      </c>
      <c r="Q649" t="s">
        <v>431</v>
      </c>
      <c r="R649" t="s">
        <v>1194</v>
      </c>
      <c r="S649" s="1">
        <v>44450</v>
      </c>
      <c r="T649" s="1">
        <v>44456</v>
      </c>
      <c r="U649">
        <v>37501</v>
      </c>
      <c r="V649" t="s">
        <v>61</v>
      </c>
      <c r="W649" t="s">
        <v>1195</v>
      </c>
      <c r="X649" s="1">
        <v>44459</v>
      </c>
      <c r="Y649" t="s">
        <v>207</v>
      </c>
      <c r="Z649">
        <v>125</v>
      </c>
      <c r="AA649">
        <v>16</v>
      </c>
      <c r="AB649">
        <v>20</v>
      </c>
      <c r="AC649">
        <v>14.5</v>
      </c>
      <c r="AD649">
        <v>159.5</v>
      </c>
      <c r="AE649">
        <v>7860.2</v>
      </c>
      <c r="AF649">
        <v>7988</v>
      </c>
      <c r="AG649" t="s">
        <v>1158</v>
      </c>
      <c r="AH649" t="s">
        <v>65</v>
      </c>
      <c r="AI649" t="s">
        <v>65</v>
      </c>
      <c r="AJ649" t="s">
        <v>66</v>
      </c>
      <c r="AK649" t="s">
        <v>66</v>
      </c>
      <c r="AL649" t="s">
        <v>66</v>
      </c>
      <c r="AM649" s="2" t="str">
        <f>HYPERLINK("https://transparencia.cidesi.mx/comprobantes/2021/CQ2100840 /C14FACTURA CONSUMO $ 145.00.pdf")</f>
        <v>https://transparencia.cidesi.mx/comprobantes/2021/CQ2100840 /C14FACTURA CONSUMO $ 145.00.pdf</v>
      </c>
      <c r="AN649" t="str">
        <f>HYPERLINK("https://transparencia.cidesi.mx/comprobantes/2021/CQ2100840 /C14FACTURA CONSUMO $ 145.00.pdf")</f>
        <v>https://transparencia.cidesi.mx/comprobantes/2021/CQ2100840 /C14FACTURA CONSUMO $ 145.00.pdf</v>
      </c>
      <c r="AO649" t="str">
        <f>HYPERLINK("https://transparencia.cidesi.mx/comprobantes/2021/CQ2100840 /C14FACTURA CONSUMO $ 145.00.xml")</f>
        <v>https://transparencia.cidesi.mx/comprobantes/2021/CQ2100840 /C14FACTURA CONSUMO $ 145.00.xml</v>
      </c>
      <c r="AP649" t="s">
        <v>1196</v>
      </c>
      <c r="AQ649" t="s">
        <v>1197</v>
      </c>
      <c r="AR649" t="s">
        <v>1169</v>
      </c>
      <c r="AS649" t="s">
        <v>1170</v>
      </c>
      <c r="AT649" s="1">
        <v>44462</v>
      </c>
      <c r="AU649" t="s">
        <v>73</v>
      </c>
    </row>
    <row r="650" spans="1:47" x14ac:dyDescent="0.3">
      <c r="A650" t="s">
        <v>1151</v>
      </c>
      <c r="B650" t="s">
        <v>182</v>
      </c>
      <c r="C650" t="s">
        <v>183</v>
      </c>
      <c r="D650">
        <v>685</v>
      </c>
      <c r="E650" t="s">
        <v>1152</v>
      </c>
      <c r="F650" t="s">
        <v>1153</v>
      </c>
      <c r="G650" t="s">
        <v>1154</v>
      </c>
      <c r="H650" t="s">
        <v>1193</v>
      </c>
      <c r="I650" t="s">
        <v>54</v>
      </c>
      <c r="J650" t="s">
        <v>1194</v>
      </c>
      <c r="K650" t="s">
        <v>56</v>
      </c>
      <c r="L650">
        <v>0</v>
      </c>
      <c r="M650" t="s">
        <v>73</v>
      </c>
      <c r="N650">
        <v>0</v>
      </c>
      <c r="O650" t="s">
        <v>58</v>
      </c>
      <c r="P650" t="s">
        <v>59</v>
      </c>
      <c r="Q650" t="s">
        <v>431</v>
      </c>
      <c r="R650" t="s">
        <v>1194</v>
      </c>
      <c r="S650" s="1">
        <v>44450</v>
      </c>
      <c r="T650" s="1">
        <v>44456</v>
      </c>
      <c r="U650">
        <v>37501</v>
      </c>
      <c r="V650" t="s">
        <v>61</v>
      </c>
      <c r="W650" t="s">
        <v>1195</v>
      </c>
      <c r="X650" s="1">
        <v>44459</v>
      </c>
      <c r="Y650" t="s">
        <v>207</v>
      </c>
      <c r="Z650">
        <v>144.83000000000001</v>
      </c>
      <c r="AA650">
        <v>16</v>
      </c>
      <c r="AB650">
        <v>23.17</v>
      </c>
      <c r="AC650">
        <v>0</v>
      </c>
      <c r="AD650">
        <v>168</v>
      </c>
      <c r="AE650">
        <v>7860.2</v>
      </c>
      <c r="AF650">
        <v>7988</v>
      </c>
      <c r="AG650" t="s">
        <v>1158</v>
      </c>
      <c r="AH650" t="s">
        <v>65</v>
      </c>
      <c r="AI650" t="s">
        <v>65</v>
      </c>
      <c r="AJ650" t="s">
        <v>66</v>
      </c>
      <c r="AK650" t="s">
        <v>66</v>
      </c>
      <c r="AL650" t="s">
        <v>66</v>
      </c>
      <c r="AM650" s="2" t="str">
        <f>HYPERLINK("https://transparencia.cidesi.mx/comprobantes/2021/CQ2100840 /C15FACTURA CONSUMO $ 168.00.pdf")</f>
        <v>https://transparencia.cidesi.mx/comprobantes/2021/CQ2100840 /C15FACTURA CONSUMO $ 168.00.pdf</v>
      </c>
      <c r="AN650" t="str">
        <f>HYPERLINK("https://transparencia.cidesi.mx/comprobantes/2021/CQ2100840 /C15FACTURA CONSUMO $ 168.00.pdf")</f>
        <v>https://transparencia.cidesi.mx/comprobantes/2021/CQ2100840 /C15FACTURA CONSUMO $ 168.00.pdf</v>
      </c>
      <c r="AO650" t="str">
        <f>HYPERLINK("https://transparencia.cidesi.mx/comprobantes/2021/CQ2100840 /C15FACTURA CONSUMO $ 168.00.xml")</f>
        <v>https://transparencia.cidesi.mx/comprobantes/2021/CQ2100840 /C15FACTURA CONSUMO $ 168.00.xml</v>
      </c>
      <c r="AP650" t="s">
        <v>1196</v>
      </c>
      <c r="AQ650" t="s">
        <v>1197</v>
      </c>
      <c r="AR650" t="s">
        <v>1169</v>
      </c>
      <c r="AS650" t="s">
        <v>1170</v>
      </c>
      <c r="AT650" s="1">
        <v>44462</v>
      </c>
      <c r="AU650" t="s">
        <v>73</v>
      </c>
    </row>
    <row r="651" spans="1:47" x14ac:dyDescent="0.3">
      <c r="A651" t="s">
        <v>1151</v>
      </c>
      <c r="B651" t="s">
        <v>182</v>
      </c>
      <c r="C651" t="s">
        <v>183</v>
      </c>
      <c r="D651">
        <v>685</v>
      </c>
      <c r="E651" t="s">
        <v>1152</v>
      </c>
      <c r="F651" t="s">
        <v>1153</v>
      </c>
      <c r="G651" t="s">
        <v>1154</v>
      </c>
      <c r="H651" t="s">
        <v>1193</v>
      </c>
      <c r="I651" t="s">
        <v>54</v>
      </c>
      <c r="J651" t="s">
        <v>1194</v>
      </c>
      <c r="K651" t="s">
        <v>56</v>
      </c>
      <c r="L651">
        <v>0</v>
      </c>
      <c r="M651" t="s">
        <v>73</v>
      </c>
      <c r="N651">
        <v>0</v>
      </c>
      <c r="O651" t="s">
        <v>58</v>
      </c>
      <c r="P651" t="s">
        <v>59</v>
      </c>
      <c r="Q651" t="s">
        <v>431</v>
      </c>
      <c r="R651" t="s">
        <v>1194</v>
      </c>
      <c r="S651" s="1">
        <v>44450</v>
      </c>
      <c r="T651" s="1">
        <v>44456</v>
      </c>
      <c r="U651">
        <v>37501</v>
      </c>
      <c r="V651" t="s">
        <v>61</v>
      </c>
      <c r="W651" t="s">
        <v>1195</v>
      </c>
      <c r="X651" s="1">
        <v>44459</v>
      </c>
      <c r="Y651" t="s">
        <v>207</v>
      </c>
      <c r="Z651">
        <v>162.07</v>
      </c>
      <c r="AA651">
        <v>16</v>
      </c>
      <c r="AB651">
        <v>25.93</v>
      </c>
      <c r="AC651">
        <v>18.8</v>
      </c>
      <c r="AD651">
        <v>206.8</v>
      </c>
      <c r="AE651">
        <v>7860.2</v>
      </c>
      <c r="AF651">
        <v>7988</v>
      </c>
      <c r="AG651" t="s">
        <v>1158</v>
      </c>
      <c r="AH651" t="s">
        <v>65</v>
      </c>
      <c r="AI651" t="s">
        <v>65</v>
      </c>
      <c r="AJ651" t="s">
        <v>66</v>
      </c>
      <c r="AK651" t="s">
        <v>66</v>
      </c>
      <c r="AL651" t="s">
        <v>66</v>
      </c>
      <c r="AM651" s="2" t="str">
        <f>HYPERLINK("https://transparencia.cidesi.mx/comprobantes/2021/CQ2100840 /C16FACTURA $ 188.00.pdf")</f>
        <v>https://transparencia.cidesi.mx/comprobantes/2021/CQ2100840 /C16FACTURA $ 188.00.pdf</v>
      </c>
      <c r="AN651" t="str">
        <f>HYPERLINK("https://transparencia.cidesi.mx/comprobantes/2021/CQ2100840 /C16FACTURA $ 188.00.pdf")</f>
        <v>https://transparencia.cidesi.mx/comprobantes/2021/CQ2100840 /C16FACTURA $ 188.00.pdf</v>
      </c>
      <c r="AO651" t="str">
        <f>HYPERLINK("https://transparencia.cidesi.mx/comprobantes/2021/CQ2100840 /C16FACTURA $ 188.00.xml")</f>
        <v>https://transparencia.cidesi.mx/comprobantes/2021/CQ2100840 /C16FACTURA $ 188.00.xml</v>
      </c>
      <c r="AP651" t="s">
        <v>1196</v>
      </c>
      <c r="AQ651" t="s">
        <v>1197</v>
      </c>
      <c r="AR651" t="s">
        <v>1169</v>
      </c>
      <c r="AS651" t="s">
        <v>1170</v>
      </c>
      <c r="AT651" s="1">
        <v>44462</v>
      </c>
      <c r="AU651" t="s">
        <v>73</v>
      </c>
    </row>
    <row r="652" spans="1:47" x14ac:dyDescent="0.3">
      <c r="A652" t="s">
        <v>1151</v>
      </c>
      <c r="B652" t="s">
        <v>182</v>
      </c>
      <c r="C652" t="s">
        <v>183</v>
      </c>
      <c r="D652">
        <v>685</v>
      </c>
      <c r="E652" t="s">
        <v>1152</v>
      </c>
      <c r="F652" t="s">
        <v>1153</v>
      </c>
      <c r="G652" t="s">
        <v>1154</v>
      </c>
      <c r="H652" t="s">
        <v>1193</v>
      </c>
      <c r="I652" t="s">
        <v>54</v>
      </c>
      <c r="J652" t="s">
        <v>1194</v>
      </c>
      <c r="K652" t="s">
        <v>56</v>
      </c>
      <c r="L652">
        <v>0</v>
      </c>
      <c r="M652" t="s">
        <v>73</v>
      </c>
      <c r="N652">
        <v>0</v>
      </c>
      <c r="O652" t="s">
        <v>58</v>
      </c>
      <c r="P652" t="s">
        <v>59</v>
      </c>
      <c r="Q652" t="s">
        <v>431</v>
      </c>
      <c r="R652" t="s">
        <v>1194</v>
      </c>
      <c r="S652" s="1">
        <v>44450</v>
      </c>
      <c r="T652" s="1">
        <v>44456</v>
      </c>
      <c r="U652">
        <v>37501</v>
      </c>
      <c r="V652" t="s">
        <v>61</v>
      </c>
      <c r="W652" t="s">
        <v>1195</v>
      </c>
      <c r="X652" s="1">
        <v>44459</v>
      </c>
      <c r="Y652" t="s">
        <v>207</v>
      </c>
      <c r="Z652">
        <v>133.93</v>
      </c>
      <c r="AA652">
        <v>16</v>
      </c>
      <c r="AB652">
        <v>6.07</v>
      </c>
      <c r="AC652">
        <v>0</v>
      </c>
      <c r="AD652">
        <v>140</v>
      </c>
      <c r="AE652">
        <v>7860.2</v>
      </c>
      <c r="AF652">
        <v>7988</v>
      </c>
      <c r="AG652" t="s">
        <v>1158</v>
      </c>
      <c r="AH652" t="s">
        <v>65</v>
      </c>
      <c r="AI652" t="s">
        <v>65</v>
      </c>
      <c r="AJ652" t="s">
        <v>66</v>
      </c>
      <c r="AK652" t="s">
        <v>66</v>
      </c>
      <c r="AL652" t="s">
        <v>66</v>
      </c>
      <c r="AM652" s="2" t="str">
        <f>HYPERLINK("https://transparencia.cidesi.mx/comprobantes/2021/CQ2100840 /C17FACTURA  OXXO $140.pdf")</f>
        <v>https://transparencia.cidesi.mx/comprobantes/2021/CQ2100840 /C17FACTURA  OXXO $140.pdf</v>
      </c>
      <c r="AN652" t="str">
        <f>HYPERLINK("https://transparencia.cidesi.mx/comprobantes/2021/CQ2100840 /C17FACTURA  OXXO $140.pdf")</f>
        <v>https://transparencia.cidesi.mx/comprobantes/2021/CQ2100840 /C17FACTURA  OXXO $140.pdf</v>
      </c>
      <c r="AO652" t="str">
        <f>HYPERLINK("https://transparencia.cidesi.mx/comprobantes/2021/CQ2100840 /C17FACTURA  OXXO $140.xml")</f>
        <v>https://transparencia.cidesi.mx/comprobantes/2021/CQ2100840 /C17FACTURA  OXXO $140.xml</v>
      </c>
      <c r="AP652" t="s">
        <v>1196</v>
      </c>
      <c r="AQ652" t="s">
        <v>1197</v>
      </c>
      <c r="AR652" t="s">
        <v>1169</v>
      </c>
      <c r="AS652" t="s">
        <v>1170</v>
      </c>
      <c r="AT652" s="1">
        <v>44462</v>
      </c>
      <c r="AU652" t="s">
        <v>73</v>
      </c>
    </row>
    <row r="653" spans="1:47" x14ac:dyDescent="0.3">
      <c r="A653" t="s">
        <v>1151</v>
      </c>
      <c r="B653" t="s">
        <v>182</v>
      </c>
      <c r="C653" t="s">
        <v>183</v>
      </c>
      <c r="D653">
        <v>685</v>
      </c>
      <c r="E653" t="s">
        <v>1152</v>
      </c>
      <c r="F653" t="s">
        <v>1153</v>
      </c>
      <c r="G653" t="s">
        <v>1154</v>
      </c>
      <c r="H653" t="s">
        <v>1193</v>
      </c>
      <c r="I653" t="s">
        <v>54</v>
      </c>
      <c r="J653" t="s">
        <v>1194</v>
      </c>
      <c r="K653" t="s">
        <v>56</v>
      </c>
      <c r="L653">
        <v>0</v>
      </c>
      <c r="M653" t="s">
        <v>73</v>
      </c>
      <c r="N653">
        <v>0</v>
      </c>
      <c r="O653" t="s">
        <v>58</v>
      </c>
      <c r="P653" t="s">
        <v>59</v>
      </c>
      <c r="Q653" t="s">
        <v>431</v>
      </c>
      <c r="R653" t="s">
        <v>1194</v>
      </c>
      <c r="S653" s="1">
        <v>44450</v>
      </c>
      <c r="T653" s="1">
        <v>44456</v>
      </c>
      <c r="U653">
        <v>37501</v>
      </c>
      <c r="V653" t="s">
        <v>61</v>
      </c>
      <c r="W653" t="s">
        <v>1195</v>
      </c>
      <c r="X653" s="1">
        <v>44459</v>
      </c>
      <c r="Y653" t="s">
        <v>207</v>
      </c>
      <c r="Z653">
        <v>107.54</v>
      </c>
      <c r="AA653">
        <v>16</v>
      </c>
      <c r="AB653">
        <v>11.46</v>
      </c>
      <c r="AC653">
        <v>0</v>
      </c>
      <c r="AD653">
        <v>119</v>
      </c>
      <c r="AE653">
        <v>7860.2</v>
      </c>
      <c r="AF653">
        <v>7988</v>
      </c>
      <c r="AG653" t="s">
        <v>1158</v>
      </c>
      <c r="AH653" t="s">
        <v>65</v>
      </c>
      <c r="AI653" t="s">
        <v>65</v>
      </c>
      <c r="AJ653" t="s">
        <v>66</v>
      </c>
      <c r="AK653" t="s">
        <v>66</v>
      </c>
      <c r="AL653" t="s">
        <v>66</v>
      </c>
      <c r="AM653" s="2" t="str">
        <f>HYPERLINK("https://transparencia.cidesi.mx/comprobantes/2021/CQ2100840 /C18FACTURA OXXO $ 119.pdf")</f>
        <v>https://transparencia.cidesi.mx/comprobantes/2021/CQ2100840 /C18FACTURA OXXO $ 119.pdf</v>
      </c>
      <c r="AN653" t="str">
        <f>HYPERLINK("https://transparencia.cidesi.mx/comprobantes/2021/CQ2100840 /C18FACTURA OXXO $ 119.pdf")</f>
        <v>https://transparencia.cidesi.mx/comprobantes/2021/CQ2100840 /C18FACTURA OXXO $ 119.pdf</v>
      </c>
      <c r="AO653" t="str">
        <f>HYPERLINK("https://transparencia.cidesi.mx/comprobantes/2021/CQ2100840 /C18FACTURA OXXO $ 119.xml")</f>
        <v>https://transparencia.cidesi.mx/comprobantes/2021/CQ2100840 /C18FACTURA OXXO $ 119.xml</v>
      </c>
      <c r="AP653" t="s">
        <v>1196</v>
      </c>
      <c r="AQ653" t="s">
        <v>1197</v>
      </c>
      <c r="AR653" t="s">
        <v>1169</v>
      </c>
      <c r="AS653" t="s">
        <v>1170</v>
      </c>
      <c r="AT653" s="1">
        <v>44462</v>
      </c>
      <c r="AU653" t="s">
        <v>73</v>
      </c>
    </row>
    <row r="654" spans="1:47" x14ac:dyDescent="0.3">
      <c r="A654" t="s">
        <v>1151</v>
      </c>
      <c r="B654" t="s">
        <v>182</v>
      </c>
      <c r="C654" t="s">
        <v>183</v>
      </c>
      <c r="D654">
        <v>685</v>
      </c>
      <c r="E654" t="s">
        <v>1152</v>
      </c>
      <c r="F654" t="s">
        <v>1153</v>
      </c>
      <c r="G654" t="s">
        <v>1154</v>
      </c>
      <c r="H654" t="s">
        <v>1193</v>
      </c>
      <c r="I654" t="s">
        <v>54</v>
      </c>
      <c r="J654" t="s">
        <v>1194</v>
      </c>
      <c r="K654" t="s">
        <v>56</v>
      </c>
      <c r="L654">
        <v>0</v>
      </c>
      <c r="M654" t="s">
        <v>73</v>
      </c>
      <c r="N654">
        <v>0</v>
      </c>
      <c r="O654" t="s">
        <v>58</v>
      </c>
      <c r="P654" t="s">
        <v>59</v>
      </c>
      <c r="Q654" t="s">
        <v>431</v>
      </c>
      <c r="R654" t="s">
        <v>1194</v>
      </c>
      <c r="S654" s="1">
        <v>44450</v>
      </c>
      <c r="T654" s="1">
        <v>44456</v>
      </c>
      <c r="U654">
        <v>37501</v>
      </c>
      <c r="V654" t="s">
        <v>61</v>
      </c>
      <c r="W654" t="s">
        <v>1195</v>
      </c>
      <c r="X654" s="1">
        <v>44459</v>
      </c>
      <c r="Y654" t="s">
        <v>207</v>
      </c>
      <c r="Z654">
        <v>67.430000000000007</v>
      </c>
      <c r="AA654">
        <v>16</v>
      </c>
      <c r="AB654">
        <v>8.07</v>
      </c>
      <c r="AC654">
        <v>0</v>
      </c>
      <c r="AD654">
        <v>75.5</v>
      </c>
      <c r="AE654">
        <v>7860.2</v>
      </c>
      <c r="AF654">
        <v>7988</v>
      </c>
      <c r="AG654" t="s">
        <v>1158</v>
      </c>
      <c r="AH654" t="s">
        <v>65</v>
      </c>
      <c r="AI654" t="s">
        <v>65</v>
      </c>
      <c r="AJ654" t="s">
        <v>66</v>
      </c>
      <c r="AK654" t="s">
        <v>66</v>
      </c>
      <c r="AL654" t="s">
        <v>66</v>
      </c>
      <c r="AM654" s="2" t="str">
        <f>HYPERLINK("https://transparencia.cidesi.mx/comprobantes/2021/CQ2100840 /C19FACTURA OXXO 75.50.pdf")</f>
        <v>https://transparencia.cidesi.mx/comprobantes/2021/CQ2100840 /C19FACTURA OXXO 75.50.pdf</v>
      </c>
      <c r="AN654" t="str">
        <f>HYPERLINK("https://transparencia.cidesi.mx/comprobantes/2021/CQ2100840 /C19FACTURA OXXO 75.50.pdf")</f>
        <v>https://transparencia.cidesi.mx/comprobantes/2021/CQ2100840 /C19FACTURA OXXO 75.50.pdf</v>
      </c>
      <c r="AO654" t="str">
        <f>HYPERLINK("https://transparencia.cidesi.mx/comprobantes/2021/CQ2100840 /C19FACTURA OXXO 75.50.xml")</f>
        <v>https://transparencia.cidesi.mx/comprobantes/2021/CQ2100840 /C19FACTURA OXXO 75.50.xml</v>
      </c>
      <c r="AP654" t="s">
        <v>1196</v>
      </c>
      <c r="AQ654" t="s">
        <v>1197</v>
      </c>
      <c r="AR654" t="s">
        <v>1169</v>
      </c>
      <c r="AS654" t="s">
        <v>1170</v>
      </c>
      <c r="AT654" s="1">
        <v>44462</v>
      </c>
      <c r="AU654" t="s">
        <v>73</v>
      </c>
    </row>
    <row r="655" spans="1:47" x14ac:dyDescent="0.3">
      <c r="A655" t="s">
        <v>1151</v>
      </c>
      <c r="B655" t="s">
        <v>182</v>
      </c>
      <c r="C655" t="s">
        <v>183</v>
      </c>
      <c r="D655">
        <v>685</v>
      </c>
      <c r="E655" t="s">
        <v>1152</v>
      </c>
      <c r="F655" t="s">
        <v>1153</v>
      </c>
      <c r="G655" t="s">
        <v>1154</v>
      </c>
      <c r="H655" t="s">
        <v>1193</v>
      </c>
      <c r="I655" t="s">
        <v>54</v>
      </c>
      <c r="J655" t="s">
        <v>1194</v>
      </c>
      <c r="K655" t="s">
        <v>56</v>
      </c>
      <c r="L655">
        <v>0</v>
      </c>
      <c r="M655" t="s">
        <v>73</v>
      </c>
      <c r="N655">
        <v>0</v>
      </c>
      <c r="O655" t="s">
        <v>58</v>
      </c>
      <c r="P655" t="s">
        <v>59</v>
      </c>
      <c r="Q655" t="s">
        <v>431</v>
      </c>
      <c r="R655" t="s">
        <v>1194</v>
      </c>
      <c r="S655" s="1">
        <v>44450</v>
      </c>
      <c r="T655" s="1">
        <v>44456</v>
      </c>
      <c r="U655">
        <v>37501</v>
      </c>
      <c r="V655" t="s">
        <v>61</v>
      </c>
      <c r="W655" t="s">
        <v>1195</v>
      </c>
      <c r="X655" s="1">
        <v>44459</v>
      </c>
      <c r="Y655" t="s">
        <v>207</v>
      </c>
      <c r="Z655">
        <v>63.48</v>
      </c>
      <c r="AA655">
        <v>16</v>
      </c>
      <c r="AB655">
        <v>3.52</v>
      </c>
      <c r="AC655">
        <v>0</v>
      </c>
      <c r="AD655">
        <v>67</v>
      </c>
      <c r="AE655">
        <v>7860.2</v>
      </c>
      <c r="AF655">
        <v>7988</v>
      </c>
      <c r="AG655" t="s">
        <v>1158</v>
      </c>
      <c r="AH655" t="s">
        <v>65</v>
      </c>
      <c r="AI655" t="s">
        <v>65</v>
      </c>
      <c r="AJ655" t="s">
        <v>66</v>
      </c>
      <c r="AK655" t="s">
        <v>66</v>
      </c>
      <c r="AL655" t="s">
        <v>66</v>
      </c>
      <c r="AM655" s="2" t="str">
        <f>HYPERLINK("https://transparencia.cidesi.mx/comprobantes/2021/CQ2100840 /C20FACTURA OXXO $ 67.00.pdf")</f>
        <v>https://transparencia.cidesi.mx/comprobantes/2021/CQ2100840 /C20FACTURA OXXO $ 67.00.pdf</v>
      </c>
      <c r="AN655" t="str">
        <f>HYPERLINK("https://transparencia.cidesi.mx/comprobantes/2021/CQ2100840 /C20FACTURA OXXO $ 67.00.pdf")</f>
        <v>https://transparencia.cidesi.mx/comprobantes/2021/CQ2100840 /C20FACTURA OXXO $ 67.00.pdf</v>
      </c>
      <c r="AO655" t="str">
        <f>HYPERLINK("https://transparencia.cidesi.mx/comprobantes/2021/CQ2100840 /C20FACTURA OXXO $ 67.00.xml")</f>
        <v>https://transparencia.cidesi.mx/comprobantes/2021/CQ2100840 /C20FACTURA OXXO $ 67.00.xml</v>
      </c>
      <c r="AP655" t="s">
        <v>1196</v>
      </c>
      <c r="AQ655" t="s">
        <v>1197</v>
      </c>
      <c r="AR655" t="s">
        <v>1169</v>
      </c>
      <c r="AS655" t="s">
        <v>1170</v>
      </c>
      <c r="AT655" s="1">
        <v>44462</v>
      </c>
      <c r="AU655" t="s">
        <v>73</v>
      </c>
    </row>
    <row r="656" spans="1:47" x14ac:dyDescent="0.3">
      <c r="A656" t="s">
        <v>1151</v>
      </c>
      <c r="B656" t="s">
        <v>182</v>
      </c>
      <c r="C656" t="s">
        <v>183</v>
      </c>
      <c r="D656">
        <v>685</v>
      </c>
      <c r="E656" t="s">
        <v>1152</v>
      </c>
      <c r="F656" t="s">
        <v>1153</v>
      </c>
      <c r="G656" t="s">
        <v>1154</v>
      </c>
      <c r="H656" t="s">
        <v>1193</v>
      </c>
      <c r="I656" t="s">
        <v>54</v>
      </c>
      <c r="J656" t="s">
        <v>1194</v>
      </c>
      <c r="K656" t="s">
        <v>56</v>
      </c>
      <c r="L656">
        <v>0</v>
      </c>
      <c r="M656" t="s">
        <v>73</v>
      </c>
      <c r="N656">
        <v>0</v>
      </c>
      <c r="O656" t="s">
        <v>58</v>
      </c>
      <c r="P656" t="s">
        <v>59</v>
      </c>
      <c r="Q656" t="s">
        <v>431</v>
      </c>
      <c r="R656" t="s">
        <v>1194</v>
      </c>
      <c r="S656" s="1">
        <v>44450</v>
      </c>
      <c r="T656" s="1">
        <v>44456</v>
      </c>
      <c r="U656">
        <v>37501</v>
      </c>
      <c r="V656" t="s">
        <v>61</v>
      </c>
      <c r="W656" t="s">
        <v>1195</v>
      </c>
      <c r="X656" s="1">
        <v>44459</v>
      </c>
      <c r="Y656" t="s">
        <v>207</v>
      </c>
      <c r="Z656">
        <v>187.32</v>
      </c>
      <c r="AA656">
        <v>16</v>
      </c>
      <c r="AB656">
        <v>35.68</v>
      </c>
      <c r="AC656">
        <v>22.3</v>
      </c>
      <c r="AD656">
        <v>245.3</v>
      </c>
      <c r="AE656">
        <v>7860.2</v>
      </c>
      <c r="AF656">
        <v>7988</v>
      </c>
      <c r="AG656" t="s">
        <v>1158</v>
      </c>
      <c r="AH656" t="s">
        <v>65</v>
      </c>
      <c r="AI656" t="s">
        <v>66</v>
      </c>
      <c r="AJ656" t="s">
        <v>66</v>
      </c>
      <c r="AK656" t="s">
        <v>66</v>
      </c>
      <c r="AL656" t="s">
        <v>66</v>
      </c>
      <c r="AM656" s="2" t="s">
        <v>73</v>
      </c>
      <c r="AN656" t="s">
        <v>73</v>
      </c>
      <c r="AO656" t="s">
        <v>73</v>
      </c>
      <c r="AP656" t="s">
        <v>1196</v>
      </c>
      <c r="AQ656" t="s">
        <v>1197</v>
      </c>
      <c r="AR656" t="s">
        <v>1169</v>
      </c>
      <c r="AS656" t="s">
        <v>1170</v>
      </c>
      <c r="AT656" s="1">
        <v>44462</v>
      </c>
      <c r="AU656" t="s">
        <v>73</v>
      </c>
    </row>
    <row r="657" spans="1:47" x14ac:dyDescent="0.3">
      <c r="A657" t="s">
        <v>1151</v>
      </c>
      <c r="B657" t="s">
        <v>182</v>
      </c>
      <c r="C657" t="s">
        <v>183</v>
      </c>
      <c r="D657">
        <v>685</v>
      </c>
      <c r="E657" t="s">
        <v>1152</v>
      </c>
      <c r="F657" t="s">
        <v>1153</v>
      </c>
      <c r="G657" t="s">
        <v>1154</v>
      </c>
      <c r="H657" t="s">
        <v>1193</v>
      </c>
      <c r="I657" t="s">
        <v>54</v>
      </c>
      <c r="J657" t="s">
        <v>1194</v>
      </c>
      <c r="K657" t="s">
        <v>56</v>
      </c>
      <c r="L657">
        <v>0</v>
      </c>
      <c r="M657" t="s">
        <v>73</v>
      </c>
      <c r="N657">
        <v>0</v>
      </c>
      <c r="O657" t="s">
        <v>58</v>
      </c>
      <c r="P657" t="s">
        <v>59</v>
      </c>
      <c r="Q657" t="s">
        <v>431</v>
      </c>
      <c r="R657" t="s">
        <v>1194</v>
      </c>
      <c r="S657" s="1">
        <v>44450</v>
      </c>
      <c r="T657" s="1">
        <v>44456</v>
      </c>
      <c r="U657">
        <v>37501</v>
      </c>
      <c r="V657" t="s">
        <v>94</v>
      </c>
      <c r="W657" t="s">
        <v>1195</v>
      </c>
      <c r="X657" s="1">
        <v>44459</v>
      </c>
      <c r="Y657" t="s">
        <v>207</v>
      </c>
      <c r="Z657">
        <v>80</v>
      </c>
      <c r="AA657">
        <v>0</v>
      </c>
      <c r="AB657">
        <v>0</v>
      </c>
      <c r="AC657">
        <v>0</v>
      </c>
      <c r="AD657">
        <v>80</v>
      </c>
      <c r="AE657">
        <v>7860.2</v>
      </c>
      <c r="AF657">
        <v>7988</v>
      </c>
      <c r="AG657" t="s">
        <v>1198</v>
      </c>
      <c r="AH657" t="s">
        <v>66</v>
      </c>
      <c r="AI657" t="s">
        <v>66</v>
      </c>
      <c r="AJ657" t="s">
        <v>66</v>
      </c>
      <c r="AK657" t="s">
        <v>66</v>
      </c>
      <c r="AL657" t="s">
        <v>66</v>
      </c>
      <c r="AM657" s="2" t="s">
        <v>73</v>
      </c>
      <c r="AN657" t="s">
        <v>73</v>
      </c>
      <c r="AO657" t="s">
        <v>73</v>
      </c>
      <c r="AP657" t="s">
        <v>1196</v>
      </c>
      <c r="AQ657" t="s">
        <v>1197</v>
      </c>
      <c r="AR657" t="s">
        <v>1169</v>
      </c>
      <c r="AS657" t="s">
        <v>1170</v>
      </c>
      <c r="AT657" s="1">
        <v>44462</v>
      </c>
      <c r="AU657" t="s">
        <v>73</v>
      </c>
    </row>
    <row r="658" spans="1:47" x14ac:dyDescent="0.3">
      <c r="A658" t="s">
        <v>1151</v>
      </c>
      <c r="B658" t="s">
        <v>182</v>
      </c>
      <c r="C658" t="s">
        <v>183</v>
      </c>
      <c r="D658">
        <v>685</v>
      </c>
      <c r="E658" t="s">
        <v>1152</v>
      </c>
      <c r="F658" t="s">
        <v>1153</v>
      </c>
      <c r="G658" t="s">
        <v>1154</v>
      </c>
      <c r="H658" t="s">
        <v>1193</v>
      </c>
      <c r="I658" t="s">
        <v>54</v>
      </c>
      <c r="J658" t="s">
        <v>1194</v>
      </c>
      <c r="K658" t="s">
        <v>56</v>
      </c>
      <c r="L658">
        <v>0</v>
      </c>
      <c r="M658" t="s">
        <v>73</v>
      </c>
      <c r="N658">
        <v>0</v>
      </c>
      <c r="O658" t="s">
        <v>58</v>
      </c>
      <c r="P658" t="s">
        <v>59</v>
      </c>
      <c r="Q658" t="s">
        <v>431</v>
      </c>
      <c r="R658" t="s">
        <v>1194</v>
      </c>
      <c r="S658" s="1">
        <v>44450</v>
      </c>
      <c r="T658" s="1">
        <v>44456</v>
      </c>
      <c r="U658">
        <v>37501</v>
      </c>
      <c r="V658" t="s">
        <v>94</v>
      </c>
      <c r="W658" t="s">
        <v>1195</v>
      </c>
      <c r="X658" s="1">
        <v>44459</v>
      </c>
      <c r="Y658" t="s">
        <v>207</v>
      </c>
      <c r="Z658">
        <v>29</v>
      </c>
      <c r="AA658">
        <v>0</v>
      </c>
      <c r="AB658">
        <v>0</v>
      </c>
      <c r="AC658">
        <v>0</v>
      </c>
      <c r="AD658">
        <v>29</v>
      </c>
      <c r="AE658">
        <v>7860.2</v>
      </c>
      <c r="AF658">
        <v>7988</v>
      </c>
      <c r="AG658" t="s">
        <v>1198</v>
      </c>
      <c r="AH658" t="s">
        <v>66</v>
      </c>
      <c r="AI658" t="s">
        <v>66</v>
      </c>
      <c r="AJ658" t="s">
        <v>66</v>
      </c>
      <c r="AK658" t="s">
        <v>66</v>
      </c>
      <c r="AL658" t="s">
        <v>66</v>
      </c>
      <c r="AM658" s="2" t="s">
        <v>73</v>
      </c>
      <c r="AN658" t="s">
        <v>73</v>
      </c>
      <c r="AO658" t="s">
        <v>73</v>
      </c>
      <c r="AP658" t="s">
        <v>1196</v>
      </c>
      <c r="AQ658" t="s">
        <v>1197</v>
      </c>
      <c r="AR658" t="s">
        <v>1169</v>
      </c>
      <c r="AS658" t="s">
        <v>1170</v>
      </c>
      <c r="AT658" s="1">
        <v>44462</v>
      </c>
      <c r="AU658" t="s">
        <v>73</v>
      </c>
    </row>
    <row r="659" spans="1:47" x14ac:dyDescent="0.3">
      <c r="A659" t="s">
        <v>1151</v>
      </c>
      <c r="B659" t="s">
        <v>182</v>
      </c>
      <c r="C659" t="s">
        <v>183</v>
      </c>
      <c r="D659">
        <v>685</v>
      </c>
      <c r="E659" t="s">
        <v>1152</v>
      </c>
      <c r="F659" t="s">
        <v>1153</v>
      </c>
      <c r="G659" t="s">
        <v>1154</v>
      </c>
      <c r="H659" t="s">
        <v>1193</v>
      </c>
      <c r="I659" t="s">
        <v>54</v>
      </c>
      <c r="J659" t="s">
        <v>1194</v>
      </c>
      <c r="K659" t="s">
        <v>56</v>
      </c>
      <c r="L659">
        <v>0</v>
      </c>
      <c r="M659" t="s">
        <v>73</v>
      </c>
      <c r="N659">
        <v>0</v>
      </c>
      <c r="O659" t="s">
        <v>58</v>
      </c>
      <c r="P659" t="s">
        <v>59</v>
      </c>
      <c r="Q659" t="s">
        <v>431</v>
      </c>
      <c r="R659" t="s">
        <v>1194</v>
      </c>
      <c r="S659" s="1">
        <v>44450</v>
      </c>
      <c r="T659" s="1">
        <v>44456</v>
      </c>
      <c r="U659">
        <v>37501</v>
      </c>
      <c r="V659" t="s">
        <v>94</v>
      </c>
      <c r="W659" t="s">
        <v>1195</v>
      </c>
      <c r="X659" s="1">
        <v>44459</v>
      </c>
      <c r="Y659" t="s">
        <v>207</v>
      </c>
      <c r="Z659">
        <v>30</v>
      </c>
      <c r="AA659">
        <v>0</v>
      </c>
      <c r="AB659">
        <v>0</v>
      </c>
      <c r="AC659">
        <v>0</v>
      </c>
      <c r="AD659">
        <v>30</v>
      </c>
      <c r="AE659">
        <v>7860.2</v>
      </c>
      <c r="AF659">
        <v>7988</v>
      </c>
      <c r="AG659" t="s">
        <v>1198</v>
      </c>
      <c r="AH659" t="s">
        <v>66</v>
      </c>
      <c r="AI659" t="s">
        <v>66</v>
      </c>
      <c r="AJ659" t="s">
        <v>66</v>
      </c>
      <c r="AK659" t="s">
        <v>66</v>
      </c>
      <c r="AL659" t="s">
        <v>66</v>
      </c>
      <c r="AM659" s="2" t="s">
        <v>73</v>
      </c>
      <c r="AN659" t="s">
        <v>73</v>
      </c>
      <c r="AO659" t="s">
        <v>73</v>
      </c>
      <c r="AP659" t="s">
        <v>1196</v>
      </c>
      <c r="AQ659" t="s">
        <v>1197</v>
      </c>
      <c r="AR659" t="s">
        <v>1169</v>
      </c>
      <c r="AS659" t="s">
        <v>1170</v>
      </c>
      <c r="AT659" s="1">
        <v>44462</v>
      </c>
      <c r="AU659" t="s">
        <v>73</v>
      </c>
    </row>
    <row r="660" spans="1:47" x14ac:dyDescent="0.3">
      <c r="A660" t="s">
        <v>1151</v>
      </c>
      <c r="B660" t="s">
        <v>182</v>
      </c>
      <c r="C660" t="s">
        <v>183</v>
      </c>
      <c r="D660">
        <v>685</v>
      </c>
      <c r="E660" t="s">
        <v>1152</v>
      </c>
      <c r="F660" t="s">
        <v>1153</v>
      </c>
      <c r="G660" t="s">
        <v>1154</v>
      </c>
      <c r="H660" t="s">
        <v>1199</v>
      </c>
      <c r="I660" t="s">
        <v>54</v>
      </c>
      <c r="J660" t="s">
        <v>1200</v>
      </c>
      <c r="K660" t="s">
        <v>56</v>
      </c>
      <c r="L660">
        <v>0</v>
      </c>
      <c r="M660" t="s">
        <v>73</v>
      </c>
      <c r="N660">
        <v>0</v>
      </c>
      <c r="O660" t="s">
        <v>58</v>
      </c>
      <c r="P660" t="s">
        <v>59</v>
      </c>
      <c r="Q660" t="s">
        <v>1003</v>
      </c>
      <c r="R660" t="s">
        <v>1200</v>
      </c>
      <c r="S660" s="1">
        <v>44465</v>
      </c>
      <c r="T660" s="1">
        <v>44469</v>
      </c>
      <c r="U660">
        <v>37501</v>
      </c>
      <c r="V660" t="s">
        <v>61</v>
      </c>
      <c r="W660" t="s">
        <v>1201</v>
      </c>
      <c r="X660" s="1">
        <v>44470</v>
      </c>
      <c r="Y660" t="s">
        <v>207</v>
      </c>
      <c r="Z660">
        <v>112.07</v>
      </c>
      <c r="AA660">
        <v>16</v>
      </c>
      <c r="AB660">
        <v>17.93</v>
      </c>
      <c r="AC660">
        <v>13</v>
      </c>
      <c r="AD660">
        <v>143</v>
      </c>
      <c r="AE660">
        <v>4676.6000000000004</v>
      </c>
      <c r="AF660">
        <v>4909</v>
      </c>
      <c r="AG660" t="s">
        <v>1158</v>
      </c>
      <c r="AH660" t="s">
        <v>65</v>
      </c>
      <c r="AI660" t="s">
        <v>65</v>
      </c>
      <c r="AJ660" t="s">
        <v>66</v>
      </c>
      <c r="AK660" t="s">
        <v>66</v>
      </c>
      <c r="AL660" t="s">
        <v>66</v>
      </c>
      <c r="AM660" s="2" t="str">
        <f>HYPERLINK("https://transparencia.cidesi.mx/comprobantes/2021/CQ2100924 /C1FACTURA $ 130.00 (2).pdf")</f>
        <v>https://transparencia.cidesi.mx/comprobantes/2021/CQ2100924 /C1FACTURA $ 130.00 (2).pdf</v>
      </c>
      <c r="AN660" t="str">
        <f>HYPERLINK("https://transparencia.cidesi.mx/comprobantes/2021/CQ2100924 /C1FACTURA $ 130.00 (2).pdf")</f>
        <v>https://transparencia.cidesi.mx/comprobantes/2021/CQ2100924 /C1FACTURA $ 130.00 (2).pdf</v>
      </c>
      <c r="AO660" t="str">
        <f>HYPERLINK("https://transparencia.cidesi.mx/comprobantes/2021/CQ2100924 /C1FACTURA $ 130.00.xml")</f>
        <v>https://transparencia.cidesi.mx/comprobantes/2021/CQ2100924 /C1FACTURA $ 130.00.xml</v>
      </c>
      <c r="AP660" t="s">
        <v>1202</v>
      </c>
      <c r="AQ660" t="s">
        <v>1203</v>
      </c>
      <c r="AR660" t="s">
        <v>1161</v>
      </c>
      <c r="AS660" t="s">
        <v>1204</v>
      </c>
      <c r="AT660" s="1">
        <v>44474</v>
      </c>
      <c r="AU660" t="s">
        <v>73</v>
      </c>
    </row>
    <row r="661" spans="1:47" x14ac:dyDescent="0.3">
      <c r="A661" t="s">
        <v>1151</v>
      </c>
      <c r="B661" t="s">
        <v>182</v>
      </c>
      <c r="C661" t="s">
        <v>183</v>
      </c>
      <c r="D661">
        <v>685</v>
      </c>
      <c r="E661" t="s">
        <v>1152</v>
      </c>
      <c r="F661" t="s">
        <v>1153</v>
      </c>
      <c r="G661" t="s">
        <v>1154</v>
      </c>
      <c r="H661" t="s">
        <v>1199</v>
      </c>
      <c r="I661" t="s">
        <v>54</v>
      </c>
      <c r="J661" t="s">
        <v>1200</v>
      </c>
      <c r="K661" t="s">
        <v>56</v>
      </c>
      <c r="L661">
        <v>0</v>
      </c>
      <c r="M661" t="s">
        <v>73</v>
      </c>
      <c r="N661">
        <v>0</v>
      </c>
      <c r="O661" t="s">
        <v>58</v>
      </c>
      <c r="P661" t="s">
        <v>59</v>
      </c>
      <c r="Q661" t="s">
        <v>1003</v>
      </c>
      <c r="R661" t="s">
        <v>1200</v>
      </c>
      <c r="S661" s="1">
        <v>44465</v>
      </c>
      <c r="T661" s="1">
        <v>44469</v>
      </c>
      <c r="U661">
        <v>37501</v>
      </c>
      <c r="V661" t="s">
        <v>61</v>
      </c>
      <c r="W661" t="s">
        <v>1201</v>
      </c>
      <c r="X661" s="1">
        <v>44470</v>
      </c>
      <c r="Y661" t="s">
        <v>207</v>
      </c>
      <c r="Z661">
        <v>215.52</v>
      </c>
      <c r="AA661">
        <v>16</v>
      </c>
      <c r="AB661">
        <v>34.479999999999997</v>
      </c>
      <c r="AC661">
        <v>25</v>
      </c>
      <c r="AD661">
        <v>275</v>
      </c>
      <c r="AE661">
        <v>4676.6000000000004</v>
      </c>
      <c r="AF661">
        <v>4909</v>
      </c>
      <c r="AG661" t="s">
        <v>1158</v>
      </c>
      <c r="AH661" t="s">
        <v>65</v>
      </c>
      <c r="AI661" t="s">
        <v>65</v>
      </c>
      <c r="AJ661" t="s">
        <v>66</v>
      </c>
      <c r="AK661" t="s">
        <v>66</v>
      </c>
      <c r="AL661" t="s">
        <v>66</v>
      </c>
      <c r="AM661" s="2" t="str">
        <f>HYPERLINK("https://transparencia.cidesi.mx/comprobantes/2021/CQ2100924 /C2FACTURA $ 250.00.pdf")</f>
        <v>https://transparencia.cidesi.mx/comprobantes/2021/CQ2100924 /C2FACTURA $ 250.00.pdf</v>
      </c>
      <c r="AN661" t="str">
        <f>HYPERLINK("https://transparencia.cidesi.mx/comprobantes/2021/CQ2100924 /C2FACTURA $ 250.00.pdf")</f>
        <v>https://transparencia.cidesi.mx/comprobantes/2021/CQ2100924 /C2FACTURA $ 250.00.pdf</v>
      </c>
      <c r="AO661" t="str">
        <f>HYPERLINK("https://transparencia.cidesi.mx/comprobantes/2021/CQ2100924 /C2FACTURA $ 250.00.xml")</f>
        <v>https://transparencia.cidesi.mx/comprobantes/2021/CQ2100924 /C2FACTURA $ 250.00.xml</v>
      </c>
      <c r="AP661" t="s">
        <v>1202</v>
      </c>
      <c r="AQ661" t="s">
        <v>1203</v>
      </c>
      <c r="AR661" t="s">
        <v>1161</v>
      </c>
      <c r="AS661" t="s">
        <v>1204</v>
      </c>
      <c r="AT661" s="1">
        <v>44474</v>
      </c>
      <c r="AU661" t="s">
        <v>73</v>
      </c>
    </row>
    <row r="662" spans="1:47" x14ac:dyDescent="0.3">
      <c r="A662" t="s">
        <v>1151</v>
      </c>
      <c r="B662" t="s">
        <v>182</v>
      </c>
      <c r="C662" t="s">
        <v>183</v>
      </c>
      <c r="D662">
        <v>685</v>
      </c>
      <c r="E662" t="s">
        <v>1152</v>
      </c>
      <c r="F662" t="s">
        <v>1153</v>
      </c>
      <c r="G662" t="s">
        <v>1154</v>
      </c>
      <c r="H662" t="s">
        <v>1199</v>
      </c>
      <c r="I662" t="s">
        <v>54</v>
      </c>
      <c r="J662" t="s">
        <v>1200</v>
      </c>
      <c r="K662" t="s">
        <v>56</v>
      </c>
      <c r="L662">
        <v>0</v>
      </c>
      <c r="M662" t="s">
        <v>73</v>
      </c>
      <c r="N662">
        <v>0</v>
      </c>
      <c r="O662" t="s">
        <v>58</v>
      </c>
      <c r="P662" t="s">
        <v>59</v>
      </c>
      <c r="Q662" t="s">
        <v>1003</v>
      </c>
      <c r="R662" t="s">
        <v>1200</v>
      </c>
      <c r="S662" s="1">
        <v>44465</v>
      </c>
      <c r="T662" s="1">
        <v>44469</v>
      </c>
      <c r="U662">
        <v>37501</v>
      </c>
      <c r="V662" t="s">
        <v>61</v>
      </c>
      <c r="W662" t="s">
        <v>1201</v>
      </c>
      <c r="X662" s="1">
        <v>44470</v>
      </c>
      <c r="Y662" t="s">
        <v>207</v>
      </c>
      <c r="Z662">
        <v>222.22</v>
      </c>
      <c r="AA662">
        <v>16</v>
      </c>
      <c r="AB662">
        <v>17.78</v>
      </c>
      <c r="AC662">
        <v>24</v>
      </c>
      <c r="AD662">
        <v>264</v>
      </c>
      <c r="AE662">
        <v>4676.6000000000004</v>
      </c>
      <c r="AF662">
        <v>4909</v>
      </c>
      <c r="AG662" t="s">
        <v>1158</v>
      </c>
      <c r="AH662" t="s">
        <v>65</v>
      </c>
      <c r="AI662" t="s">
        <v>65</v>
      </c>
      <c r="AJ662" t="s">
        <v>66</v>
      </c>
      <c r="AK662" t="s">
        <v>66</v>
      </c>
      <c r="AL662" t="s">
        <v>66</v>
      </c>
      <c r="AM662" s="2" t="str">
        <f>HYPERLINK("https://transparencia.cidesi.mx/comprobantes/2021/CQ2100924 /C3FACTURA $ 240.00.pdf")</f>
        <v>https://transparencia.cidesi.mx/comprobantes/2021/CQ2100924 /C3FACTURA $ 240.00.pdf</v>
      </c>
      <c r="AN662" t="str">
        <f>HYPERLINK("https://transparencia.cidesi.mx/comprobantes/2021/CQ2100924 /C3FACTURA $ 240.00.pdf")</f>
        <v>https://transparencia.cidesi.mx/comprobantes/2021/CQ2100924 /C3FACTURA $ 240.00.pdf</v>
      </c>
      <c r="AO662" t="str">
        <f>HYPERLINK("https://transparencia.cidesi.mx/comprobantes/2021/CQ2100924 /C3FACTURA $ 240.00.xml")</f>
        <v>https://transparencia.cidesi.mx/comprobantes/2021/CQ2100924 /C3FACTURA $ 240.00.xml</v>
      </c>
      <c r="AP662" t="s">
        <v>1202</v>
      </c>
      <c r="AQ662" t="s">
        <v>1203</v>
      </c>
      <c r="AR662" t="s">
        <v>1161</v>
      </c>
      <c r="AS662" t="s">
        <v>1204</v>
      </c>
      <c r="AT662" s="1">
        <v>44474</v>
      </c>
      <c r="AU662" t="s">
        <v>73</v>
      </c>
    </row>
    <row r="663" spans="1:47" x14ac:dyDescent="0.3">
      <c r="A663" t="s">
        <v>1151</v>
      </c>
      <c r="B663" t="s">
        <v>182</v>
      </c>
      <c r="C663" t="s">
        <v>183</v>
      </c>
      <c r="D663">
        <v>685</v>
      </c>
      <c r="E663" t="s">
        <v>1152</v>
      </c>
      <c r="F663" t="s">
        <v>1153</v>
      </c>
      <c r="G663" t="s">
        <v>1154</v>
      </c>
      <c r="H663" t="s">
        <v>1199</v>
      </c>
      <c r="I663" t="s">
        <v>54</v>
      </c>
      <c r="J663" t="s">
        <v>1200</v>
      </c>
      <c r="K663" t="s">
        <v>56</v>
      </c>
      <c r="L663">
        <v>0</v>
      </c>
      <c r="M663" t="s">
        <v>73</v>
      </c>
      <c r="N663">
        <v>0</v>
      </c>
      <c r="O663" t="s">
        <v>58</v>
      </c>
      <c r="P663" t="s">
        <v>59</v>
      </c>
      <c r="Q663" t="s">
        <v>1003</v>
      </c>
      <c r="R663" t="s">
        <v>1200</v>
      </c>
      <c r="S663" s="1">
        <v>44465</v>
      </c>
      <c r="T663" s="1">
        <v>44469</v>
      </c>
      <c r="U663">
        <v>37501</v>
      </c>
      <c r="V663" t="s">
        <v>61</v>
      </c>
      <c r="W663" t="s">
        <v>1201</v>
      </c>
      <c r="X663" s="1">
        <v>44470</v>
      </c>
      <c r="Y663" t="s">
        <v>207</v>
      </c>
      <c r="Z663">
        <v>239.66</v>
      </c>
      <c r="AA663">
        <v>16</v>
      </c>
      <c r="AB663">
        <v>38.340000000000003</v>
      </c>
      <c r="AC663">
        <v>0</v>
      </c>
      <c r="AD663">
        <v>278</v>
      </c>
      <c r="AE663">
        <v>4676.6000000000004</v>
      </c>
      <c r="AF663">
        <v>4909</v>
      </c>
      <c r="AG663" t="s">
        <v>1158</v>
      </c>
      <c r="AH663" t="s">
        <v>65</v>
      </c>
      <c r="AI663" t="s">
        <v>65</v>
      </c>
      <c r="AJ663" t="s">
        <v>66</v>
      </c>
      <c r="AK663" t="s">
        <v>66</v>
      </c>
      <c r="AL663" t="s">
        <v>66</v>
      </c>
      <c r="AM663" s="2" t="str">
        <f>HYPERLINK("https://transparencia.cidesi.mx/comprobantes/2021/CQ2100924 /C4FACTURA $ 278.01.pdf")</f>
        <v>https://transparencia.cidesi.mx/comprobantes/2021/CQ2100924 /C4FACTURA $ 278.01.pdf</v>
      </c>
      <c r="AN663" t="str">
        <f>HYPERLINK("https://transparencia.cidesi.mx/comprobantes/2021/CQ2100924 /C4FACTURA $ 278.01.pdf")</f>
        <v>https://transparencia.cidesi.mx/comprobantes/2021/CQ2100924 /C4FACTURA $ 278.01.pdf</v>
      </c>
      <c r="AO663" t="str">
        <f>HYPERLINK("https://transparencia.cidesi.mx/comprobantes/2021/CQ2100924 /C4FACTURA $ 278.01.xml")</f>
        <v>https://transparencia.cidesi.mx/comprobantes/2021/CQ2100924 /C4FACTURA $ 278.01.xml</v>
      </c>
      <c r="AP663" t="s">
        <v>1202</v>
      </c>
      <c r="AQ663" t="s">
        <v>1203</v>
      </c>
      <c r="AR663" t="s">
        <v>1161</v>
      </c>
      <c r="AS663" t="s">
        <v>1204</v>
      </c>
      <c r="AT663" s="1">
        <v>44474</v>
      </c>
      <c r="AU663" t="s">
        <v>73</v>
      </c>
    </row>
    <row r="664" spans="1:47" x14ac:dyDescent="0.3">
      <c r="A664" t="s">
        <v>1151</v>
      </c>
      <c r="B664" t="s">
        <v>182</v>
      </c>
      <c r="C664" t="s">
        <v>183</v>
      </c>
      <c r="D664">
        <v>685</v>
      </c>
      <c r="E664" t="s">
        <v>1152</v>
      </c>
      <c r="F664" t="s">
        <v>1153</v>
      </c>
      <c r="G664" t="s">
        <v>1154</v>
      </c>
      <c r="H664" t="s">
        <v>1199</v>
      </c>
      <c r="I664" t="s">
        <v>54</v>
      </c>
      <c r="J664" t="s">
        <v>1200</v>
      </c>
      <c r="K664" t="s">
        <v>56</v>
      </c>
      <c r="L664">
        <v>0</v>
      </c>
      <c r="M664" t="s">
        <v>73</v>
      </c>
      <c r="N664">
        <v>0</v>
      </c>
      <c r="O664" t="s">
        <v>58</v>
      </c>
      <c r="P664" t="s">
        <v>59</v>
      </c>
      <c r="Q664" t="s">
        <v>1003</v>
      </c>
      <c r="R664" t="s">
        <v>1200</v>
      </c>
      <c r="S664" s="1">
        <v>44465</v>
      </c>
      <c r="T664" s="1">
        <v>44469</v>
      </c>
      <c r="U664">
        <v>37501</v>
      </c>
      <c r="V664" t="s">
        <v>61</v>
      </c>
      <c r="W664" t="s">
        <v>1201</v>
      </c>
      <c r="X664" s="1">
        <v>44470</v>
      </c>
      <c r="Y664" t="s">
        <v>207</v>
      </c>
      <c r="Z664">
        <v>138.13</v>
      </c>
      <c r="AA664">
        <v>16</v>
      </c>
      <c r="AB664">
        <v>9.8699999999999992</v>
      </c>
      <c r="AC664">
        <v>0</v>
      </c>
      <c r="AD664">
        <v>148</v>
      </c>
      <c r="AE664">
        <v>4676.6000000000004</v>
      </c>
      <c r="AF664">
        <v>4909</v>
      </c>
      <c r="AG664" t="s">
        <v>1158</v>
      </c>
      <c r="AH664" t="s">
        <v>65</v>
      </c>
      <c r="AI664" t="s">
        <v>65</v>
      </c>
      <c r="AJ664" t="s">
        <v>66</v>
      </c>
      <c r="AK664" t="s">
        <v>66</v>
      </c>
      <c r="AL664" t="s">
        <v>66</v>
      </c>
      <c r="AM664" s="2" t="str">
        <f>HYPERLINK("https://transparencia.cidesi.mx/comprobantes/2021/CQ2100924 /C5FACTURA OXXO $ 148.00.pdf")</f>
        <v>https://transparencia.cidesi.mx/comprobantes/2021/CQ2100924 /C5FACTURA OXXO $ 148.00.pdf</v>
      </c>
      <c r="AN664" t="str">
        <f>HYPERLINK("https://transparencia.cidesi.mx/comprobantes/2021/CQ2100924 /C5FACTURA OXXO $ 148.00.pdf")</f>
        <v>https://transparencia.cidesi.mx/comprobantes/2021/CQ2100924 /C5FACTURA OXXO $ 148.00.pdf</v>
      </c>
      <c r="AO664" t="str">
        <f>HYPERLINK("https://transparencia.cidesi.mx/comprobantes/2021/CQ2100924 /C5FACTURA OXXO $ 148.00.xml")</f>
        <v>https://transparencia.cidesi.mx/comprobantes/2021/CQ2100924 /C5FACTURA OXXO $ 148.00.xml</v>
      </c>
      <c r="AP664" t="s">
        <v>1202</v>
      </c>
      <c r="AQ664" t="s">
        <v>1203</v>
      </c>
      <c r="AR664" t="s">
        <v>1161</v>
      </c>
      <c r="AS664" t="s">
        <v>1204</v>
      </c>
      <c r="AT664" s="1">
        <v>44474</v>
      </c>
      <c r="AU664" t="s">
        <v>73</v>
      </c>
    </row>
    <row r="665" spans="1:47" x14ac:dyDescent="0.3">
      <c r="A665" t="s">
        <v>1151</v>
      </c>
      <c r="B665" t="s">
        <v>182</v>
      </c>
      <c r="C665" t="s">
        <v>183</v>
      </c>
      <c r="D665">
        <v>685</v>
      </c>
      <c r="E665" t="s">
        <v>1152</v>
      </c>
      <c r="F665" t="s">
        <v>1153</v>
      </c>
      <c r="G665" t="s">
        <v>1154</v>
      </c>
      <c r="H665" t="s">
        <v>1199</v>
      </c>
      <c r="I665" t="s">
        <v>54</v>
      </c>
      <c r="J665" t="s">
        <v>1200</v>
      </c>
      <c r="K665" t="s">
        <v>56</v>
      </c>
      <c r="L665">
        <v>0</v>
      </c>
      <c r="M665" t="s">
        <v>73</v>
      </c>
      <c r="N665">
        <v>0</v>
      </c>
      <c r="O665" t="s">
        <v>58</v>
      </c>
      <c r="P665" t="s">
        <v>59</v>
      </c>
      <c r="Q665" t="s">
        <v>1003</v>
      </c>
      <c r="R665" t="s">
        <v>1200</v>
      </c>
      <c r="S665" s="1">
        <v>44465</v>
      </c>
      <c r="T665" s="1">
        <v>44469</v>
      </c>
      <c r="U665">
        <v>37501</v>
      </c>
      <c r="V665" t="s">
        <v>61</v>
      </c>
      <c r="W665" t="s">
        <v>1201</v>
      </c>
      <c r="X665" s="1">
        <v>44470</v>
      </c>
      <c r="Y665" t="s">
        <v>207</v>
      </c>
      <c r="Z665">
        <v>179.52</v>
      </c>
      <c r="AA665">
        <v>16</v>
      </c>
      <c r="AB665">
        <v>12.48</v>
      </c>
      <c r="AC665">
        <v>0</v>
      </c>
      <c r="AD665">
        <v>192</v>
      </c>
      <c r="AE665">
        <v>4676.6000000000004</v>
      </c>
      <c r="AF665">
        <v>4909</v>
      </c>
      <c r="AG665" t="s">
        <v>1158</v>
      </c>
      <c r="AH665" t="s">
        <v>65</v>
      </c>
      <c r="AI665" t="s">
        <v>65</v>
      </c>
      <c r="AJ665" t="s">
        <v>66</v>
      </c>
      <c r="AK665" t="s">
        <v>66</v>
      </c>
      <c r="AL665" t="s">
        <v>66</v>
      </c>
      <c r="AM665" s="2" t="str">
        <f>HYPERLINK("https://transparencia.cidesi.mx/comprobantes/2021/CQ2100924 /C6FACTURA OXXO $ 192.00.pdf")</f>
        <v>https://transparencia.cidesi.mx/comprobantes/2021/CQ2100924 /C6FACTURA OXXO $ 192.00.pdf</v>
      </c>
      <c r="AN665" t="str">
        <f>HYPERLINK("https://transparencia.cidesi.mx/comprobantes/2021/CQ2100924 /C6FACTURA OXXO $ 192.00.pdf")</f>
        <v>https://transparencia.cidesi.mx/comprobantes/2021/CQ2100924 /C6FACTURA OXXO $ 192.00.pdf</v>
      </c>
      <c r="AO665" t="str">
        <f>HYPERLINK("https://transparencia.cidesi.mx/comprobantes/2021/CQ2100924 /C6FACTURA OXXO $ 192.00.xml")</f>
        <v>https://transparencia.cidesi.mx/comprobantes/2021/CQ2100924 /C6FACTURA OXXO $ 192.00.xml</v>
      </c>
      <c r="AP665" t="s">
        <v>1202</v>
      </c>
      <c r="AQ665" t="s">
        <v>1203</v>
      </c>
      <c r="AR665" t="s">
        <v>1161</v>
      </c>
      <c r="AS665" t="s">
        <v>1204</v>
      </c>
      <c r="AT665" s="1">
        <v>44474</v>
      </c>
      <c r="AU665" t="s">
        <v>73</v>
      </c>
    </row>
    <row r="666" spans="1:47" x14ac:dyDescent="0.3">
      <c r="A666" t="s">
        <v>1151</v>
      </c>
      <c r="B666" t="s">
        <v>182</v>
      </c>
      <c r="C666" t="s">
        <v>183</v>
      </c>
      <c r="D666">
        <v>685</v>
      </c>
      <c r="E666" t="s">
        <v>1152</v>
      </c>
      <c r="F666" t="s">
        <v>1153</v>
      </c>
      <c r="G666" t="s">
        <v>1154</v>
      </c>
      <c r="H666" t="s">
        <v>1199</v>
      </c>
      <c r="I666" t="s">
        <v>54</v>
      </c>
      <c r="J666" t="s">
        <v>1200</v>
      </c>
      <c r="K666" t="s">
        <v>56</v>
      </c>
      <c r="L666">
        <v>0</v>
      </c>
      <c r="M666" t="s">
        <v>73</v>
      </c>
      <c r="N666">
        <v>0</v>
      </c>
      <c r="O666" t="s">
        <v>58</v>
      </c>
      <c r="P666" t="s">
        <v>59</v>
      </c>
      <c r="Q666" t="s">
        <v>1003</v>
      </c>
      <c r="R666" t="s">
        <v>1200</v>
      </c>
      <c r="S666" s="1">
        <v>44465</v>
      </c>
      <c r="T666" s="1">
        <v>44469</v>
      </c>
      <c r="U666">
        <v>37501</v>
      </c>
      <c r="V666" t="s">
        <v>61</v>
      </c>
      <c r="W666" t="s">
        <v>1201</v>
      </c>
      <c r="X666" s="1">
        <v>44470</v>
      </c>
      <c r="Y666" t="s">
        <v>207</v>
      </c>
      <c r="Z666">
        <v>46.78</v>
      </c>
      <c r="AA666">
        <v>16</v>
      </c>
      <c r="AB666">
        <v>1.72</v>
      </c>
      <c r="AC666">
        <v>0</v>
      </c>
      <c r="AD666">
        <v>48.5</v>
      </c>
      <c r="AE666">
        <v>4676.6000000000004</v>
      </c>
      <c r="AF666">
        <v>4909</v>
      </c>
      <c r="AG666" t="s">
        <v>1158</v>
      </c>
      <c r="AH666" t="s">
        <v>65</v>
      </c>
      <c r="AI666" t="s">
        <v>65</v>
      </c>
      <c r="AJ666" t="s">
        <v>66</v>
      </c>
      <c r="AK666" t="s">
        <v>66</v>
      </c>
      <c r="AL666" t="s">
        <v>66</v>
      </c>
      <c r="AM666" s="2" t="str">
        <f>HYPERLINK("https://transparencia.cidesi.mx/comprobantes/2021/CQ2100924 /C7FACTURA $ 48.50.pdf")</f>
        <v>https://transparencia.cidesi.mx/comprobantes/2021/CQ2100924 /C7FACTURA $ 48.50.pdf</v>
      </c>
      <c r="AN666" t="str">
        <f>HYPERLINK("https://transparencia.cidesi.mx/comprobantes/2021/CQ2100924 /C7FACTURA $ 48.50.pdf")</f>
        <v>https://transparencia.cidesi.mx/comprobantes/2021/CQ2100924 /C7FACTURA $ 48.50.pdf</v>
      </c>
      <c r="AO666" t="str">
        <f>HYPERLINK("https://transparencia.cidesi.mx/comprobantes/2021/CQ2100924 /C7FACTURA $ 48.50.xml")</f>
        <v>https://transparencia.cidesi.mx/comprobantes/2021/CQ2100924 /C7FACTURA $ 48.50.xml</v>
      </c>
      <c r="AP666" t="s">
        <v>1202</v>
      </c>
      <c r="AQ666" t="s">
        <v>1203</v>
      </c>
      <c r="AR666" t="s">
        <v>1161</v>
      </c>
      <c r="AS666" t="s">
        <v>1204</v>
      </c>
      <c r="AT666" s="1">
        <v>44474</v>
      </c>
      <c r="AU666" t="s">
        <v>73</v>
      </c>
    </row>
    <row r="667" spans="1:47" x14ac:dyDescent="0.3">
      <c r="A667" t="s">
        <v>1151</v>
      </c>
      <c r="B667" t="s">
        <v>182</v>
      </c>
      <c r="C667" t="s">
        <v>183</v>
      </c>
      <c r="D667">
        <v>685</v>
      </c>
      <c r="E667" t="s">
        <v>1152</v>
      </c>
      <c r="F667" t="s">
        <v>1153</v>
      </c>
      <c r="G667" t="s">
        <v>1154</v>
      </c>
      <c r="H667" t="s">
        <v>1199</v>
      </c>
      <c r="I667" t="s">
        <v>54</v>
      </c>
      <c r="J667" t="s">
        <v>1200</v>
      </c>
      <c r="K667" t="s">
        <v>56</v>
      </c>
      <c r="L667">
        <v>0</v>
      </c>
      <c r="M667" t="s">
        <v>73</v>
      </c>
      <c r="N667">
        <v>0</v>
      </c>
      <c r="O667" t="s">
        <v>58</v>
      </c>
      <c r="P667" t="s">
        <v>59</v>
      </c>
      <c r="Q667" t="s">
        <v>1003</v>
      </c>
      <c r="R667" t="s">
        <v>1200</v>
      </c>
      <c r="S667" s="1">
        <v>44465</v>
      </c>
      <c r="T667" s="1">
        <v>44469</v>
      </c>
      <c r="U667">
        <v>37501</v>
      </c>
      <c r="V667" t="s">
        <v>61</v>
      </c>
      <c r="W667" t="s">
        <v>1201</v>
      </c>
      <c r="X667" s="1">
        <v>44470</v>
      </c>
      <c r="Y667" t="s">
        <v>207</v>
      </c>
      <c r="Z667">
        <v>171.55</v>
      </c>
      <c r="AA667">
        <v>16</v>
      </c>
      <c r="AB667">
        <v>27.45</v>
      </c>
      <c r="AC667">
        <v>0</v>
      </c>
      <c r="AD667">
        <v>199</v>
      </c>
      <c r="AE667">
        <v>4676.6000000000004</v>
      </c>
      <c r="AF667">
        <v>4909</v>
      </c>
      <c r="AG667" t="s">
        <v>1158</v>
      </c>
      <c r="AH667" t="s">
        <v>65</v>
      </c>
      <c r="AI667" t="s">
        <v>65</v>
      </c>
      <c r="AJ667" t="s">
        <v>66</v>
      </c>
      <c r="AK667" t="s">
        <v>66</v>
      </c>
      <c r="AL667" t="s">
        <v>66</v>
      </c>
      <c r="AM667" s="2" t="str">
        <f>HYPERLINK("https://transparencia.cidesi.mx/comprobantes/2021/CQ2100924 /C8FACTURA $ 199.00.pdf")</f>
        <v>https://transparencia.cidesi.mx/comprobantes/2021/CQ2100924 /C8FACTURA $ 199.00.pdf</v>
      </c>
      <c r="AN667" t="str">
        <f>HYPERLINK("https://transparencia.cidesi.mx/comprobantes/2021/CQ2100924 /C8FACTURA $ 199.00.pdf")</f>
        <v>https://transparencia.cidesi.mx/comprobantes/2021/CQ2100924 /C8FACTURA $ 199.00.pdf</v>
      </c>
      <c r="AO667" t="str">
        <f>HYPERLINK("https://transparencia.cidesi.mx/comprobantes/2021/CQ2100924 /C8FACTURA $ 199.00.xml")</f>
        <v>https://transparencia.cidesi.mx/comprobantes/2021/CQ2100924 /C8FACTURA $ 199.00.xml</v>
      </c>
      <c r="AP667" t="s">
        <v>1202</v>
      </c>
      <c r="AQ667" t="s">
        <v>1203</v>
      </c>
      <c r="AR667" t="s">
        <v>1161</v>
      </c>
      <c r="AS667" t="s">
        <v>1204</v>
      </c>
      <c r="AT667" s="1">
        <v>44474</v>
      </c>
      <c r="AU667" t="s">
        <v>73</v>
      </c>
    </row>
    <row r="668" spans="1:47" x14ac:dyDescent="0.3">
      <c r="A668" t="s">
        <v>1151</v>
      </c>
      <c r="B668" t="s">
        <v>182</v>
      </c>
      <c r="C668" t="s">
        <v>183</v>
      </c>
      <c r="D668">
        <v>685</v>
      </c>
      <c r="E668" t="s">
        <v>1152</v>
      </c>
      <c r="F668" t="s">
        <v>1153</v>
      </c>
      <c r="G668" t="s">
        <v>1154</v>
      </c>
      <c r="H668" t="s">
        <v>1199</v>
      </c>
      <c r="I668" t="s">
        <v>54</v>
      </c>
      <c r="J668" t="s">
        <v>1200</v>
      </c>
      <c r="K668" t="s">
        <v>56</v>
      </c>
      <c r="L668">
        <v>0</v>
      </c>
      <c r="M668" t="s">
        <v>73</v>
      </c>
      <c r="N668">
        <v>0</v>
      </c>
      <c r="O668" t="s">
        <v>58</v>
      </c>
      <c r="P668" t="s">
        <v>59</v>
      </c>
      <c r="Q668" t="s">
        <v>1003</v>
      </c>
      <c r="R668" t="s">
        <v>1200</v>
      </c>
      <c r="S668" s="1">
        <v>44465</v>
      </c>
      <c r="T668" s="1">
        <v>44469</v>
      </c>
      <c r="U668">
        <v>37501</v>
      </c>
      <c r="V668" t="s">
        <v>61</v>
      </c>
      <c r="W668" t="s">
        <v>1201</v>
      </c>
      <c r="X668" s="1">
        <v>44470</v>
      </c>
      <c r="Y668" t="s">
        <v>207</v>
      </c>
      <c r="Z668">
        <v>250</v>
      </c>
      <c r="AA668">
        <v>16</v>
      </c>
      <c r="AB668">
        <v>41</v>
      </c>
      <c r="AC668">
        <v>29.1</v>
      </c>
      <c r="AD668">
        <v>320.10000000000002</v>
      </c>
      <c r="AE668">
        <v>4676.6000000000004</v>
      </c>
      <c r="AF668">
        <v>4909</v>
      </c>
      <c r="AG668" t="s">
        <v>1158</v>
      </c>
      <c r="AH668" t="s">
        <v>65</v>
      </c>
      <c r="AI668" t="s">
        <v>65</v>
      </c>
      <c r="AJ668" t="s">
        <v>66</v>
      </c>
      <c r="AK668" t="s">
        <v>66</v>
      </c>
      <c r="AL668" t="s">
        <v>66</v>
      </c>
      <c r="AM668" s="2" t="str">
        <f>HYPERLINK("https://transparencia.cidesi.mx/comprobantes/2021/CQ2100924 /C9FACTURA $ 290.00.pdf")</f>
        <v>https://transparencia.cidesi.mx/comprobantes/2021/CQ2100924 /C9FACTURA $ 290.00.pdf</v>
      </c>
      <c r="AN668" t="str">
        <f>HYPERLINK("https://transparencia.cidesi.mx/comprobantes/2021/CQ2100924 /C9FACTURA $ 290.00.pdf")</f>
        <v>https://transparencia.cidesi.mx/comprobantes/2021/CQ2100924 /C9FACTURA $ 290.00.pdf</v>
      </c>
      <c r="AO668" t="str">
        <f>HYPERLINK("https://transparencia.cidesi.mx/comprobantes/2021/CQ2100924 /C9FACTURA $ 290.00.xml")</f>
        <v>https://transparencia.cidesi.mx/comprobantes/2021/CQ2100924 /C9FACTURA $ 290.00.xml</v>
      </c>
      <c r="AP668" t="s">
        <v>1202</v>
      </c>
      <c r="AQ668" t="s">
        <v>1203</v>
      </c>
      <c r="AR668" t="s">
        <v>1161</v>
      </c>
      <c r="AS668" t="s">
        <v>1204</v>
      </c>
      <c r="AT668" s="1">
        <v>44474</v>
      </c>
      <c r="AU668" t="s">
        <v>73</v>
      </c>
    </row>
    <row r="669" spans="1:47" x14ac:dyDescent="0.3">
      <c r="A669" t="s">
        <v>1151</v>
      </c>
      <c r="B669" t="s">
        <v>182</v>
      </c>
      <c r="C669" t="s">
        <v>183</v>
      </c>
      <c r="D669">
        <v>685</v>
      </c>
      <c r="E669" t="s">
        <v>1152</v>
      </c>
      <c r="F669" t="s">
        <v>1153</v>
      </c>
      <c r="G669" t="s">
        <v>1154</v>
      </c>
      <c r="H669" t="s">
        <v>1199</v>
      </c>
      <c r="I669" t="s">
        <v>54</v>
      </c>
      <c r="J669" t="s">
        <v>1200</v>
      </c>
      <c r="K669" t="s">
        <v>56</v>
      </c>
      <c r="L669">
        <v>0</v>
      </c>
      <c r="M669" t="s">
        <v>73</v>
      </c>
      <c r="N669">
        <v>0</v>
      </c>
      <c r="O669" t="s">
        <v>58</v>
      </c>
      <c r="P669" t="s">
        <v>59</v>
      </c>
      <c r="Q669" t="s">
        <v>1003</v>
      </c>
      <c r="R669" t="s">
        <v>1200</v>
      </c>
      <c r="S669" s="1">
        <v>44465</v>
      </c>
      <c r="T669" s="1">
        <v>44469</v>
      </c>
      <c r="U669">
        <v>37501</v>
      </c>
      <c r="V669" t="s">
        <v>61</v>
      </c>
      <c r="W669" t="s">
        <v>1201</v>
      </c>
      <c r="X669" s="1">
        <v>44470</v>
      </c>
      <c r="Y669" t="s">
        <v>207</v>
      </c>
      <c r="Z669">
        <v>318.97000000000003</v>
      </c>
      <c r="AA669">
        <v>16</v>
      </c>
      <c r="AB669">
        <v>51.03</v>
      </c>
      <c r="AC669">
        <v>37</v>
      </c>
      <c r="AD669">
        <v>407</v>
      </c>
      <c r="AE669">
        <v>4676.6000000000004</v>
      </c>
      <c r="AF669">
        <v>4909</v>
      </c>
      <c r="AG669" t="s">
        <v>1158</v>
      </c>
      <c r="AH669" t="s">
        <v>65</v>
      </c>
      <c r="AI669" t="s">
        <v>65</v>
      </c>
      <c r="AJ669" t="s">
        <v>66</v>
      </c>
      <c r="AK669" t="s">
        <v>66</v>
      </c>
      <c r="AL669" t="s">
        <v>66</v>
      </c>
      <c r="AM669" s="2" t="str">
        <f>HYPERLINK("https://transparencia.cidesi.mx/comprobantes/2021/CQ2100924 /C10FACTURA $ 407.00.pdf")</f>
        <v>https://transparencia.cidesi.mx/comprobantes/2021/CQ2100924 /C10FACTURA $ 407.00.pdf</v>
      </c>
      <c r="AN669" t="str">
        <f>HYPERLINK("https://transparencia.cidesi.mx/comprobantes/2021/CQ2100924 /C10FACTURA $ 407.00.pdf")</f>
        <v>https://transparencia.cidesi.mx/comprobantes/2021/CQ2100924 /C10FACTURA $ 407.00.pdf</v>
      </c>
      <c r="AO669" t="str">
        <f>HYPERLINK("https://transparencia.cidesi.mx/comprobantes/2021/CQ2100924 /C10FACTURA $ 407.00.xml")</f>
        <v>https://transparencia.cidesi.mx/comprobantes/2021/CQ2100924 /C10FACTURA $ 407.00.xml</v>
      </c>
      <c r="AP669" t="s">
        <v>1202</v>
      </c>
      <c r="AQ669" t="s">
        <v>1203</v>
      </c>
      <c r="AR669" t="s">
        <v>1161</v>
      </c>
      <c r="AS669" t="s">
        <v>1204</v>
      </c>
      <c r="AT669" s="1">
        <v>44474</v>
      </c>
      <c r="AU669" t="s">
        <v>73</v>
      </c>
    </row>
    <row r="670" spans="1:47" x14ac:dyDescent="0.3">
      <c r="A670" t="s">
        <v>1151</v>
      </c>
      <c r="B670" t="s">
        <v>182</v>
      </c>
      <c r="C670" t="s">
        <v>183</v>
      </c>
      <c r="D670">
        <v>685</v>
      </c>
      <c r="E670" t="s">
        <v>1152</v>
      </c>
      <c r="F670" t="s">
        <v>1153</v>
      </c>
      <c r="G670" t="s">
        <v>1154</v>
      </c>
      <c r="H670" t="s">
        <v>1199</v>
      </c>
      <c r="I670" t="s">
        <v>54</v>
      </c>
      <c r="J670" t="s">
        <v>1200</v>
      </c>
      <c r="K670" t="s">
        <v>56</v>
      </c>
      <c r="L670">
        <v>0</v>
      </c>
      <c r="M670" t="s">
        <v>73</v>
      </c>
      <c r="N670">
        <v>0</v>
      </c>
      <c r="O670" t="s">
        <v>58</v>
      </c>
      <c r="P670" t="s">
        <v>59</v>
      </c>
      <c r="Q670" t="s">
        <v>1003</v>
      </c>
      <c r="R670" t="s">
        <v>1200</v>
      </c>
      <c r="S670" s="1">
        <v>44465</v>
      </c>
      <c r="T670" s="1">
        <v>44469</v>
      </c>
      <c r="U670">
        <v>37501</v>
      </c>
      <c r="V670" t="s">
        <v>61</v>
      </c>
      <c r="W670" t="s">
        <v>1201</v>
      </c>
      <c r="X670" s="1">
        <v>44470</v>
      </c>
      <c r="Y670" t="s">
        <v>207</v>
      </c>
      <c r="Z670">
        <v>171.55</v>
      </c>
      <c r="AA670">
        <v>16</v>
      </c>
      <c r="AB670">
        <v>27.45</v>
      </c>
      <c r="AC670">
        <v>0</v>
      </c>
      <c r="AD670">
        <v>199</v>
      </c>
      <c r="AE670">
        <v>4676.6000000000004</v>
      </c>
      <c r="AF670">
        <v>4909</v>
      </c>
      <c r="AG670" t="s">
        <v>1158</v>
      </c>
      <c r="AH670" t="s">
        <v>65</v>
      </c>
      <c r="AI670" t="s">
        <v>66</v>
      </c>
      <c r="AJ670" t="s">
        <v>66</v>
      </c>
      <c r="AK670" t="s">
        <v>66</v>
      </c>
      <c r="AL670" t="s">
        <v>66</v>
      </c>
      <c r="AM670" s="2" t="s">
        <v>73</v>
      </c>
      <c r="AN670" t="s">
        <v>73</v>
      </c>
      <c r="AO670" t="s">
        <v>73</v>
      </c>
      <c r="AP670" t="s">
        <v>1202</v>
      </c>
      <c r="AQ670" t="s">
        <v>1203</v>
      </c>
      <c r="AR670" t="s">
        <v>1161</v>
      </c>
      <c r="AS670" t="s">
        <v>1204</v>
      </c>
      <c r="AT670" s="1">
        <v>44474</v>
      </c>
      <c r="AU670" t="s">
        <v>73</v>
      </c>
    </row>
    <row r="671" spans="1:47" x14ac:dyDescent="0.3">
      <c r="A671" t="s">
        <v>1151</v>
      </c>
      <c r="B671" t="s">
        <v>182</v>
      </c>
      <c r="C671" t="s">
        <v>183</v>
      </c>
      <c r="D671">
        <v>685</v>
      </c>
      <c r="E671" t="s">
        <v>1152</v>
      </c>
      <c r="F671" t="s">
        <v>1153</v>
      </c>
      <c r="G671" t="s">
        <v>1154</v>
      </c>
      <c r="H671" t="s">
        <v>1199</v>
      </c>
      <c r="I671" t="s">
        <v>54</v>
      </c>
      <c r="J671" t="s">
        <v>1200</v>
      </c>
      <c r="K671" t="s">
        <v>56</v>
      </c>
      <c r="L671">
        <v>0</v>
      </c>
      <c r="M671" t="s">
        <v>73</v>
      </c>
      <c r="N671">
        <v>0</v>
      </c>
      <c r="O671" t="s">
        <v>58</v>
      </c>
      <c r="P671" t="s">
        <v>59</v>
      </c>
      <c r="Q671" t="s">
        <v>1003</v>
      </c>
      <c r="R671" t="s">
        <v>1200</v>
      </c>
      <c r="S671" s="1">
        <v>44465</v>
      </c>
      <c r="T671" s="1">
        <v>44469</v>
      </c>
      <c r="U671">
        <v>37501</v>
      </c>
      <c r="V671" t="s">
        <v>61</v>
      </c>
      <c r="W671" t="s">
        <v>1201</v>
      </c>
      <c r="X671" s="1">
        <v>44470</v>
      </c>
      <c r="Y671" t="s">
        <v>207</v>
      </c>
      <c r="Z671">
        <v>148.07</v>
      </c>
      <c r="AA671">
        <v>16</v>
      </c>
      <c r="AB671">
        <v>5.93</v>
      </c>
      <c r="AC671">
        <v>0</v>
      </c>
      <c r="AD671">
        <v>154</v>
      </c>
      <c r="AE671">
        <v>4676.6000000000004</v>
      </c>
      <c r="AF671">
        <v>4909</v>
      </c>
      <c r="AG671" t="s">
        <v>1158</v>
      </c>
      <c r="AH671" t="s">
        <v>65</v>
      </c>
      <c r="AI671" t="s">
        <v>65</v>
      </c>
      <c r="AJ671" t="s">
        <v>66</v>
      </c>
      <c r="AK671" t="s">
        <v>66</v>
      </c>
      <c r="AL671" t="s">
        <v>66</v>
      </c>
      <c r="AM671" s="2" t="str">
        <f>HYPERLINK("https://transparencia.cidesi.mx/comprobantes/2021/CQ2100924 /C12FACTURA$ 154.00.pdf")</f>
        <v>https://transparencia.cidesi.mx/comprobantes/2021/CQ2100924 /C12FACTURA$ 154.00.pdf</v>
      </c>
      <c r="AN671" t="str">
        <f>HYPERLINK("https://transparencia.cidesi.mx/comprobantes/2021/CQ2100924 /C12FACTURA$ 154.00.pdf")</f>
        <v>https://transparencia.cidesi.mx/comprobantes/2021/CQ2100924 /C12FACTURA$ 154.00.pdf</v>
      </c>
      <c r="AO671" t="str">
        <f>HYPERLINK("https://transparencia.cidesi.mx/comprobantes/2021/CQ2100924 /C12FACTURA $ 154.00.xml")</f>
        <v>https://transparencia.cidesi.mx/comprobantes/2021/CQ2100924 /C12FACTURA $ 154.00.xml</v>
      </c>
      <c r="AP671" t="s">
        <v>1202</v>
      </c>
      <c r="AQ671" t="s">
        <v>1203</v>
      </c>
      <c r="AR671" t="s">
        <v>1161</v>
      </c>
      <c r="AS671" t="s">
        <v>1204</v>
      </c>
      <c r="AT671" s="1">
        <v>44474</v>
      </c>
      <c r="AU671" t="s">
        <v>73</v>
      </c>
    </row>
    <row r="672" spans="1:47" x14ac:dyDescent="0.3">
      <c r="A672" t="s">
        <v>1151</v>
      </c>
      <c r="B672" t="s">
        <v>182</v>
      </c>
      <c r="C672" t="s">
        <v>183</v>
      </c>
      <c r="D672">
        <v>685</v>
      </c>
      <c r="E672" t="s">
        <v>1152</v>
      </c>
      <c r="F672" t="s">
        <v>1153</v>
      </c>
      <c r="G672" t="s">
        <v>1154</v>
      </c>
      <c r="H672" t="s">
        <v>1199</v>
      </c>
      <c r="I672" t="s">
        <v>54</v>
      </c>
      <c r="J672" t="s">
        <v>1200</v>
      </c>
      <c r="K672" t="s">
        <v>56</v>
      </c>
      <c r="L672">
        <v>0</v>
      </c>
      <c r="M672" t="s">
        <v>73</v>
      </c>
      <c r="N672">
        <v>0</v>
      </c>
      <c r="O672" t="s">
        <v>58</v>
      </c>
      <c r="P672" t="s">
        <v>59</v>
      </c>
      <c r="Q672" t="s">
        <v>1003</v>
      </c>
      <c r="R672" t="s">
        <v>1200</v>
      </c>
      <c r="S672" s="1">
        <v>44465</v>
      </c>
      <c r="T672" s="1">
        <v>44469</v>
      </c>
      <c r="U672">
        <v>37501</v>
      </c>
      <c r="V672" t="s">
        <v>104</v>
      </c>
      <c r="W672" t="s">
        <v>1201</v>
      </c>
      <c r="X672" s="1">
        <v>44470</v>
      </c>
      <c r="Y672" t="s">
        <v>207</v>
      </c>
      <c r="Z672">
        <v>540.25</v>
      </c>
      <c r="AA672">
        <v>16</v>
      </c>
      <c r="AB672">
        <v>84.75</v>
      </c>
      <c r="AC672">
        <v>0</v>
      </c>
      <c r="AD672">
        <v>625</v>
      </c>
      <c r="AE672">
        <v>4676.6000000000004</v>
      </c>
      <c r="AF672">
        <v>4909</v>
      </c>
      <c r="AG672" t="s">
        <v>1166</v>
      </c>
      <c r="AH672" t="s">
        <v>65</v>
      </c>
      <c r="AI672" t="s">
        <v>65</v>
      </c>
      <c r="AJ672" t="s">
        <v>66</v>
      </c>
      <c r="AK672" t="s">
        <v>66</v>
      </c>
      <c r="AL672" t="s">
        <v>66</v>
      </c>
      <c r="AM672" s="2" t="str">
        <f>HYPERLINK("https://transparencia.cidesi.mx/comprobantes/2021/CQ2100924 /C13FACTURA HOTEL $ 625.00.pdf")</f>
        <v>https://transparencia.cidesi.mx/comprobantes/2021/CQ2100924 /C13FACTURA HOTEL $ 625.00.pdf</v>
      </c>
      <c r="AN672" t="str">
        <f>HYPERLINK("https://transparencia.cidesi.mx/comprobantes/2021/CQ2100924 /C13FACTURA HOTEL $ 625.00.pdf")</f>
        <v>https://transparencia.cidesi.mx/comprobantes/2021/CQ2100924 /C13FACTURA HOTEL $ 625.00.pdf</v>
      </c>
      <c r="AO672" t="str">
        <f>HYPERLINK("https://transparencia.cidesi.mx/comprobantes/2021/CQ2100924 /C13FACTURA HOTEL $ 625.00.xml")</f>
        <v>https://transparencia.cidesi.mx/comprobantes/2021/CQ2100924 /C13FACTURA HOTEL $ 625.00.xml</v>
      </c>
      <c r="AP672" t="s">
        <v>1202</v>
      </c>
      <c r="AQ672" t="s">
        <v>1203</v>
      </c>
      <c r="AR672" t="s">
        <v>1161</v>
      </c>
      <c r="AS672" t="s">
        <v>1204</v>
      </c>
      <c r="AT672" s="1">
        <v>44474</v>
      </c>
      <c r="AU672" t="s">
        <v>73</v>
      </c>
    </row>
    <row r="673" spans="1:47" x14ac:dyDescent="0.3">
      <c r="A673" t="s">
        <v>1151</v>
      </c>
      <c r="B673" t="s">
        <v>182</v>
      </c>
      <c r="C673" t="s">
        <v>183</v>
      </c>
      <c r="D673">
        <v>685</v>
      </c>
      <c r="E673" t="s">
        <v>1152</v>
      </c>
      <c r="F673" t="s">
        <v>1153</v>
      </c>
      <c r="G673" t="s">
        <v>1154</v>
      </c>
      <c r="H673" t="s">
        <v>1199</v>
      </c>
      <c r="I673" t="s">
        <v>54</v>
      </c>
      <c r="J673" t="s">
        <v>1200</v>
      </c>
      <c r="K673" t="s">
        <v>56</v>
      </c>
      <c r="L673">
        <v>0</v>
      </c>
      <c r="M673" t="s">
        <v>73</v>
      </c>
      <c r="N673">
        <v>0</v>
      </c>
      <c r="O673" t="s">
        <v>58</v>
      </c>
      <c r="P673" t="s">
        <v>59</v>
      </c>
      <c r="Q673" t="s">
        <v>1003</v>
      </c>
      <c r="R673" t="s">
        <v>1200</v>
      </c>
      <c r="S673" s="1">
        <v>44465</v>
      </c>
      <c r="T673" s="1">
        <v>44469</v>
      </c>
      <c r="U673">
        <v>37501</v>
      </c>
      <c r="V673" t="s">
        <v>104</v>
      </c>
      <c r="W673" t="s">
        <v>1201</v>
      </c>
      <c r="X673" s="1">
        <v>44470</v>
      </c>
      <c r="Y673" t="s">
        <v>207</v>
      </c>
      <c r="Z673">
        <v>540.25</v>
      </c>
      <c r="AA673">
        <v>16</v>
      </c>
      <c r="AB673">
        <v>84.75</v>
      </c>
      <c r="AC673">
        <v>0</v>
      </c>
      <c r="AD673">
        <v>625</v>
      </c>
      <c r="AE673">
        <v>4676.6000000000004</v>
      </c>
      <c r="AF673">
        <v>4909</v>
      </c>
      <c r="AG673" t="s">
        <v>1166</v>
      </c>
      <c r="AH673" t="s">
        <v>65</v>
      </c>
      <c r="AI673" t="s">
        <v>65</v>
      </c>
      <c r="AJ673" t="s">
        <v>66</v>
      </c>
      <c r="AK673" t="s">
        <v>66</v>
      </c>
      <c r="AL673" t="s">
        <v>66</v>
      </c>
      <c r="AM673" s="2" t="str">
        <f>HYPERLINK("https://transparencia.cidesi.mx/comprobantes/2021/CQ2100924 /C14HOTEL $ 625.00 (2).pdf")</f>
        <v>https://transparencia.cidesi.mx/comprobantes/2021/CQ2100924 /C14HOTEL $ 625.00 (2).pdf</v>
      </c>
      <c r="AN673" t="str">
        <f>HYPERLINK("https://transparencia.cidesi.mx/comprobantes/2021/CQ2100924 /C14HOTEL $ 625.00 (2).pdf")</f>
        <v>https://transparencia.cidesi.mx/comprobantes/2021/CQ2100924 /C14HOTEL $ 625.00 (2).pdf</v>
      </c>
      <c r="AO673" t="str">
        <f>HYPERLINK("https://transparencia.cidesi.mx/comprobantes/2021/CQ2100924 /C14HOTEL $ 625.00 (2).xml")</f>
        <v>https://transparencia.cidesi.mx/comprobantes/2021/CQ2100924 /C14HOTEL $ 625.00 (2).xml</v>
      </c>
      <c r="AP673" t="s">
        <v>1202</v>
      </c>
      <c r="AQ673" t="s">
        <v>1203</v>
      </c>
      <c r="AR673" t="s">
        <v>1161</v>
      </c>
      <c r="AS673" t="s">
        <v>1204</v>
      </c>
      <c r="AT673" s="1">
        <v>44474</v>
      </c>
      <c r="AU673" t="s">
        <v>73</v>
      </c>
    </row>
    <row r="674" spans="1:47" x14ac:dyDescent="0.3">
      <c r="A674" t="s">
        <v>1151</v>
      </c>
      <c r="B674" t="s">
        <v>182</v>
      </c>
      <c r="C674" t="s">
        <v>183</v>
      </c>
      <c r="D674">
        <v>685</v>
      </c>
      <c r="E674" t="s">
        <v>1152</v>
      </c>
      <c r="F674" t="s">
        <v>1153</v>
      </c>
      <c r="G674" t="s">
        <v>1154</v>
      </c>
      <c r="H674" t="s">
        <v>1199</v>
      </c>
      <c r="I674" t="s">
        <v>54</v>
      </c>
      <c r="J674" t="s">
        <v>1200</v>
      </c>
      <c r="K674" t="s">
        <v>56</v>
      </c>
      <c r="L674">
        <v>0</v>
      </c>
      <c r="M674" t="s">
        <v>73</v>
      </c>
      <c r="N674">
        <v>0</v>
      </c>
      <c r="O674" t="s">
        <v>58</v>
      </c>
      <c r="P674" t="s">
        <v>59</v>
      </c>
      <c r="Q674" t="s">
        <v>1003</v>
      </c>
      <c r="R674" t="s">
        <v>1200</v>
      </c>
      <c r="S674" s="1">
        <v>44465</v>
      </c>
      <c r="T674" s="1">
        <v>44469</v>
      </c>
      <c r="U674">
        <v>37501</v>
      </c>
      <c r="V674" t="s">
        <v>104</v>
      </c>
      <c r="W674" t="s">
        <v>1201</v>
      </c>
      <c r="X674" s="1">
        <v>44470</v>
      </c>
      <c r="Y674" t="s">
        <v>207</v>
      </c>
      <c r="Z674">
        <v>690.66</v>
      </c>
      <c r="AA674">
        <v>16</v>
      </c>
      <c r="AB674">
        <v>108.34</v>
      </c>
      <c r="AC674">
        <v>0</v>
      </c>
      <c r="AD674">
        <v>799</v>
      </c>
      <c r="AE674">
        <v>4676.6000000000004</v>
      </c>
      <c r="AF674">
        <v>4909</v>
      </c>
      <c r="AG674" t="s">
        <v>1166</v>
      </c>
      <c r="AH674" t="s">
        <v>65</v>
      </c>
      <c r="AI674" t="s">
        <v>65</v>
      </c>
      <c r="AJ674" t="s">
        <v>66</v>
      </c>
      <c r="AK674" t="s">
        <v>66</v>
      </c>
      <c r="AL674" t="s">
        <v>66</v>
      </c>
      <c r="AM674" s="2" t="str">
        <f>HYPERLINK("https://transparencia.cidesi.mx/comprobantes/2021/CQ2100924 /C15FACTURA  HOTEL $ 799.00.pdf")</f>
        <v>https://transparencia.cidesi.mx/comprobantes/2021/CQ2100924 /C15FACTURA  HOTEL $ 799.00.pdf</v>
      </c>
      <c r="AN674" t="str">
        <f>HYPERLINK("https://transparencia.cidesi.mx/comprobantes/2021/CQ2100924 /C15FACTURA  HOTEL $ 799.00.pdf")</f>
        <v>https://transparencia.cidesi.mx/comprobantes/2021/CQ2100924 /C15FACTURA  HOTEL $ 799.00.pdf</v>
      </c>
      <c r="AO674" t="str">
        <f>HYPERLINK("https://transparencia.cidesi.mx/comprobantes/2021/CQ2100924 /C15FACTURA HOTEL  $ 799.00.xml")</f>
        <v>https://transparencia.cidesi.mx/comprobantes/2021/CQ2100924 /C15FACTURA HOTEL  $ 799.00.xml</v>
      </c>
      <c r="AP674" t="s">
        <v>1202</v>
      </c>
      <c r="AQ674" t="s">
        <v>1203</v>
      </c>
      <c r="AR674" t="s">
        <v>1161</v>
      </c>
      <c r="AS674" t="s">
        <v>1204</v>
      </c>
      <c r="AT674" s="1">
        <v>44474</v>
      </c>
      <c r="AU674" t="s">
        <v>73</v>
      </c>
    </row>
    <row r="675" spans="1:47" x14ac:dyDescent="0.3">
      <c r="A675" t="s">
        <v>246</v>
      </c>
      <c r="B675" t="s">
        <v>48</v>
      </c>
      <c r="C675" t="s">
        <v>338</v>
      </c>
      <c r="D675">
        <v>688</v>
      </c>
      <c r="E675" t="s">
        <v>1205</v>
      </c>
      <c r="F675" t="s">
        <v>1206</v>
      </c>
      <c r="G675" t="s">
        <v>1207</v>
      </c>
      <c r="H675" t="s">
        <v>1208</v>
      </c>
      <c r="I675" t="s">
        <v>54</v>
      </c>
      <c r="J675" t="s">
        <v>1209</v>
      </c>
      <c r="K675" t="s">
        <v>56</v>
      </c>
      <c r="L675">
        <v>0</v>
      </c>
      <c r="M675" t="s">
        <v>73</v>
      </c>
      <c r="N675">
        <v>0</v>
      </c>
      <c r="O675" t="s">
        <v>58</v>
      </c>
      <c r="P675" t="s">
        <v>59</v>
      </c>
      <c r="Q675" t="s">
        <v>216</v>
      </c>
      <c r="R675" t="s">
        <v>1209</v>
      </c>
      <c r="S675" s="1">
        <v>44427</v>
      </c>
      <c r="T675" s="1">
        <v>44427</v>
      </c>
      <c r="U675">
        <v>37501</v>
      </c>
      <c r="V675" t="s">
        <v>61</v>
      </c>
      <c r="W675" t="s">
        <v>1210</v>
      </c>
      <c r="X675" s="1">
        <v>44431</v>
      </c>
      <c r="Y675" t="s">
        <v>63</v>
      </c>
      <c r="Z675">
        <v>109.76</v>
      </c>
      <c r="AA675">
        <v>16</v>
      </c>
      <c r="AB675">
        <v>5.24</v>
      </c>
      <c r="AC675">
        <v>0</v>
      </c>
      <c r="AD675">
        <v>115</v>
      </c>
      <c r="AE675">
        <v>545</v>
      </c>
      <c r="AF675">
        <v>545</v>
      </c>
      <c r="AG675" t="s">
        <v>1211</v>
      </c>
      <c r="AH675" t="s">
        <v>65</v>
      </c>
      <c r="AI675" t="s">
        <v>65</v>
      </c>
      <c r="AJ675" t="s">
        <v>66</v>
      </c>
      <c r="AK675" t="s">
        <v>66</v>
      </c>
      <c r="AL675" t="s">
        <v>66</v>
      </c>
      <c r="AM675" s="2" t="str">
        <f>HYPERLINK("https://transparencia.cidesi.mx/comprobantes/2021/CQ2100680 /C1FACTURA_1629597720239_341599821.pdf")</f>
        <v>https://transparencia.cidesi.mx/comprobantes/2021/CQ2100680 /C1FACTURA_1629597720239_341599821.pdf</v>
      </c>
      <c r="AN675" t="str">
        <f>HYPERLINK("https://transparencia.cidesi.mx/comprobantes/2021/CQ2100680 /C1FACTURA_1629597720239_341599821.pdf")</f>
        <v>https://transparencia.cidesi.mx/comprobantes/2021/CQ2100680 /C1FACTURA_1629597720239_341599821.pdf</v>
      </c>
      <c r="AO675" t="str">
        <f>HYPERLINK("https://transparencia.cidesi.mx/comprobantes/2021/CQ2100680 /C1FACTURA_1629597734249_341599821.xml")</f>
        <v>https://transparencia.cidesi.mx/comprobantes/2021/CQ2100680 /C1FACTURA_1629597734249_341599821.xml</v>
      </c>
      <c r="AP675" t="s">
        <v>1212</v>
      </c>
      <c r="AQ675" t="s">
        <v>1212</v>
      </c>
      <c r="AR675" t="s">
        <v>1213</v>
      </c>
      <c r="AS675" t="s">
        <v>1214</v>
      </c>
      <c r="AT675" s="1">
        <v>44433</v>
      </c>
      <c r="AU675" s="1">
        <v>44433</v>
      </c>
    </row>
    <row r="676" spans="1:47" x14ac:dyDescent="0.3">
      <c r="A676" t="s">
        <v>246</v>
      </c>
      <c r="B676" t="s">
        <v>48</v>
      </c>
      <c r="C676" t="s">
        <v>338</v>
      </c>
      <c r="D676">
        <v>688</v>
      </c>
      <c r="E676" t="s">
        <v>1205</v>
      </c>
      <c r="F676" t="s">
        <v>1206</v>
      </c>
      <c r="G676" t="s">
        <v>1207</v>
      </c>
      <c r="H676" t="s">
        <v>1208</v>
      </c>
      <c r="I676" t="s">
        <v>54</v>
      </c>
      <c r="J676" t="s">
        <v>1209</v>
      </c>
      <c r="K676" t="s">
        <v>56</v>
      </c>
      <c r="L676">
        <v>0</v>
      </c>
      <c r="M676" t="s">
        <v>73</v>
      </c>
      <c r="N676">
        <v>0</v>
      </c>
      <c r="O676" t="s">
        <v>58</v>
      </c>
      <c r="P676" t="s">
        <v>59</v>
      </c>
      <c r="Q676" t="s">
        <v>216</v>
      </c>
      <c r="R676" t="s">
        <v>1209</v>
      </c>
      <c r="S676" s="1">
        <v>44427</v>
      </c>
      <c r="T676" s="1">
        <v>44427</v>
      </c>
      <c r="U676">
        <v>37501</v>
      </c>
      <c r="V676" t="s">
        <v>61</v>
      </c>
      <c r="W676" t="s">
        <v>1210</v>
      </c>
      <c r="X676" s="1">
        <v>44431</v>
      </c>
      <c r="Y676" t="s">
        <v>63</v>
      </c>
      <c r="Z676">
        <v>344.83</v>
      </c>
      <c r="AA676">
        <v>16</v>
      </c>
      <c r="AB676">
        <v>55.17</v>
      </c>
      <c r="AC676">
        <v>30</v>
      </c>
      <c r="AD676">
        <v>430</v>
      </c>
      <c r="AE676">
        <v>545</v>
      </c>
      <c r="AF676">
        <v>545</v>
      </c>
      <c r="AG676" t="s">
        <v>1211</v>
      </c>
      <c r="AH676" t="s">
        <v>65</v>
      </c>
      <c r="AI676" t="s">
        <v>65</v>
      </c>
      <c r="AJ676" t="s">
        <v>66</v>
      </c>
      <c r="AK676" t="s">
        <v>66</v>
      </c>
      <c r="AL676" t="s">
        <v>66</v>
      </c>
      <c r="AM676" s="2" t="str">
        <f>HYPERLINK("https://transparencia.cidesi.mx/comprobantes/2021/CQ2100680 /C2CID840309UG7F0000019228.pdf")</f>
        <v>https://transparencia.cidesi.mx/comprobantes/2021/CQ2100680 /C2CID840309UG7F0000019228.pdf</v>
      </c>
      <c r="AN676" t="str">
        <f>HYPERLINK("https://transparencia.cidesi.mx/comprobantes/2021/CQ2100680 /C2CID840309UG7F0000019228.pdf")</f>
        <v>https://transparencia.cidesi.mx/comprobantes/2021/CQ2100680 /C2CID840309UG7F0000019228.pdf</v>
      </c>
      <c r="AO676" t="str">
        <f>HYPERLINK("https://transparencia.cidesi.mx/comprobantes/2021/CQ2100680 /C2CID840309UG7F0000019228.xml")</f>
        <v>https://transparencia.cidesi.mx/comprobantes/2021/CQ2100680 /C2CID840309UG7F0000019228.xml</v>
      </c>
      <c r="AP676" t="s">
        <v>1212</v>
      </c>
      <c r="AQ676" t="s">
        <v>1212</v>
      </c>
      <c r="AR676" t="s">
        <v>1213</v>
      </c>
      <c r="AS676" t="s">
        <v>1214</v>
      </c>
      <c r="AT676" s="1">
        <v>44433</v>
      </c>
      <c r="AU676" s="1">
        <v>44433</v>
      </c>
    </row>
    <row r="677" spans="1:47" x14ac:dyDescent="0.3">
      <c r="A677" t="s">
        <v>246</v>
      </c>
      <c r="B677" t="s">
        <v>48</v>
      </c>
      <c r="C677" t="s">
        <v>338</v>
      </c>
      <c r="D677">
        <v>688</v>
      </c>
      <c r="E677" t="s">
        <v>1205</v>
      </c>
      <c r="F677" t="s">
        <v>1206</v>
      </c>
      <c r="G677" t="s">
        <v>1207</v>
      </c>
      <c r="H677" t="s">
        <v>1215</v>
      </c>
      <c r="I677" t="s">
        <v>54</v>
      </c>
      <c r="J677" t="s">
        <v>1216</v>
      </c>
      <c r="K677" t="s">
        <v>56</v>
      </c>
      <c r="L677">
        <v>0</v>
      </c>
      <c r="M677" t="s">
        <v>73</v>
      </c>
      <c r="N677">
        <v>0</v>
      </c>
      <c r="O677" t="s">
        <v>58</v>
      </c>
      <c r="P677" t="s">
        <v>59</v>
      </c>
      <c r="Q677" t="s">
        <v>87</v>
      </c>
      <c r="R677" t="s">
        <v>1216</v>
      </c>
      <c r="S677" s="1">
        <v>44432</v>
      </c>
      <c r="T677" s="1">
        <v>44432</v>
      </c>
      <c r="U677">
        <v>37501</v>
      </c>
      <c r="V677" t="s">
        <v>61</v>
      </c>
      <c r="W677" t="s">
        <v>1217</v>
      </c>
      <c r="X677" s="1">
        <v>44434</v>
      </c>
      <c r="Y677" t="s">
        <v>63</v>
      </c>
      <c r="Z677">
        <v>162.5</v>
      </c>
      <c r="AA677">
        <v>16</v>
      </c>
      <c r="AB677">
        <v>26</v>
      </c>
      <c r="AC677">
        <v>18.850000000000001</v>
      </c>
      <c r="AD677">
        <v>207.35</v>
      </c>
      <c r="AE677">
        <v>520.35</v>
      </c>
      <c r="AF677">
        <v>545</v>
      </c>
      <c r="AG677" t="s">
        <v>1211</v>
      </c>
      <c r="AH677" t="s">
        <v>65</v>
      </c>
      <c r="AI677" t="s">
        <v>65</v>
      </c>
      <c r="AJ677" t="s">
        <v>66</v>
      </c>
      <c r="AK677" t="s">
        <v>66</v>
      </c>
      <c r="AL677" t="s">
        <v>66</v>
      </c>
      <c r="AM677" s="2" t="str">
        <f>HYPERLINK("https://transparencia.cidesi.mx/comprobantes/2021/CQ2100696 /C1MSG_004679401_BO_40993.pdf")</f>
        <v>https://transparencia.cidesi.mx/comprobantes/2021/CQ2100696 /C1MSG_004679401_BO_40993.pdf</v>
      </c>
      <c r="AN677" t="str">
        <f>HYPERLINK("https://transparencia.cidesi.mx/comprobantes/2021/CQ2100696 /C1MSG_004679401_BO_40993.pdf")</f>
        <v>https://transparencia.cidesi.mx/comprobantes/2021/CQ2100696 /C1MSG_004679401_BO_40993.pdf</v>
      </c>
      <c r="AO677" t="str">
        <f>HYPERLINK("https://transparencia.cidesi.mx/comprobantes/2021/CQ2100696 /C1MSG_004679401_BO_40993.xml")</f>
        <v>https://transparencia.cidesi.mx/comprobantes/2021/CQ2100696 /C1MSG_004679401_BO_40993.xml</v>
      </c>
      <c r="AP677" t="s">
        <v>1216</v>
      </c>
      <c r="AQ677" t="s">
        <v>1216</v>
      </c>
      <c r="AR677" t="s">
        <v>1218</v>
      </c>
      <c r="AS677" t="s">
        <v>1219</v>
      </c>
      <c r="AT677" s="1">
        <v>44438</v>
      </c>
      <c r="AU677" s="1">
        <v>44442</v>
      </c>
    </row>
    <row r="678" spans="1:47" x14ac:dyDescent="0.3">
      <c r="A678" t="s">
        <v>246</v>
      </c>
      <c r="B678" t="s">
        <v>48</v>
      </c>
      <c r="C678" t="s">
        <v>338</v>
      </c>
      <c r="D678">
        <v>688</v>
      </c>
      <c r="E678" t="s">
        <v>1205</v>
      </c>
      <c r="F678" t="s">
        <v>1206</v>
      </c>
      <c r="G678" t="s">
        <v>1207</v>
      </c>
      <c r="H678" t="s">
        <v>1215</v>
      </c>
      <c r="I678" t="s">
        <v>54</v>
      </c>
      <c r="J678" t="s">
        <v>1216</v>
      </c>
      <c r="K678" t="s">
        <v>56</v>
      </c>
      <c r="L678">
        <v>0</v>
      </c>
      <c r="M678" t="s">
        <v>73</v>
      </c>
      <c r="N678">
        <v>0</v>
      </c>
      <c r="O678" t="s">
        <v>58</v>
      </c>
      <c r="P678" t="s">
        <v>59</v>
      </c>
      <c r="Q678" t="s">
        <v>87</v>
      </c>
      <c r="R678" t="s">
        <v>1216</v>
      </c>
      <c r="S678" s="1">
        <v>44432</v>
      </c>
      <c r="T678" s="1">
        <v>44432</v>
      </c>
      <c r="U678">
        <v>37501</v>
      </c>
      <c r="V678" t="s">
        <v>61</v>
      </c>
      <c r="W678" t="s">
        <v>1217</v>
      </c>
      <c r="X678" s="1">
        <v>44434</v>
      </c>
      <c r="Y678" t="s">
        <v>63</v>
      </c>
      <c r="Z678">
        <v>245.69</v>
      </c>
      <c r="AA678">
        <v>16</v>
      </c>
      <c r="AB678">
        <v>39.31</v>
      </c>
      <c r="AC678">
        <v>28</v>
      </c>
      <c r="AD678">
        <v>313</v>
      </c>
      <c r="AE678">
        <v>520.35</v>
      </c>
      <c r="AF678">
        <v>545</v>
      </c>
      <c r="AG678" t="s">
        <v>1211</v>
      </c>
      <c r="AH678" t="s">
        <v>65</v>
      </c>
      <c r="AI678" t="s">
        <v>65</v>
      </c>
      <c r="AJ678" t="s">
        <v>66</v>
      </c>
      <c r="AK678" t="s">
        <v>66</v>
      </c>
      <c r="AL678" t="s">
        <v>66</v>
      </c>
      <c r="AM678" s="2" t="str">
        <f>HYPERLINK("https://transparencia.cidesi.mx/comprobantes/2021/CQ2100696 /C2RORR791119M94_Factura__37888.pdf")</f>
        <v>https://transparencia.cidesi.mx/comprobantes/2021/CQ2100696 /C2RORR791119M94_Factura__37888.pdf</v>
      </c>
      <c r="AN678" t="str">
        <f>HYPERLINK("https://transparencia.cidesi.mx/comprobantes/2021/CQ2100696 /C2RORR791119M94_Factura__37888.pdf")</f>
        <v>https://transparencia.cidesi.mx/comprobantes/2021/CQ2100696 /C2RORR791119M94_Factura__37888.pdf</v>
      </c>
      <c r="AO678" t="str">
        <f>HYPERLINK("https://transparencia.cidesi.mx/comprobantes/2021/CQ2100696 /C2RORR791119M94_Factura__37888.xml")</f>
        <v>https://transparencia.cidesi.mx/comprobantes/2021/CQ2100696 /C2RORR791119M94_Factura__37888.xml</v>
      </c>
      <c r="AP678" t="s">
        <v>1216</v>
      </c>
      <c r="AQ678" t="s">
        <v>1216</v>
      </c>
      <c r="AR678" t="s">
        <v>1218</v>
      </c>
      <c r="AS678" t="s">
        <v>1219</v>
      </c>
      <c r="AT678" s="1">
        <v>44438</v>
      </c>
      <c r="AU678" s="1">
        <v>44442</v>
      </c>
    </row>
    <row r="679" spans="1:47" x14ac:dyDescent="0.3">
      <c r="A679" t="s">
        <v>246</v>
      </c>
      <c r="B679" t="s">
        <v>48</v>
      </c>
      <c r="C679" t="s">
        <v>338</v>
      </c>
      <c r="D679">
        <v>688</v>
      </c>
      <c r="E679" t="s">
        <v>1205</v>
      </c>
      <c r="F679" t="s">
        <v>1206</v>
      </c>
      <c r="G679" t="s">
        <v>1207</v>
      </c>
      <c r="H679" t="s">
        <v>1220</v>
      </c>
      <c r="I679" t="s">
        <v>54</v>
      </c>
      <c r="J679" t="s">
        <v>1221</v>
      </c>
      <c r="K679" t="s">
        <v>56</v>
      </c>
      <c r="L679">
        <v>0</v>
      </c>
      <c r="M679" t="s">
        <v>73</v>
      </c>
      <c r="N679">
        <v>0</v>
      </c>
      <c r="O679" t="s">
        <v>58</v>
      </c>
      <c r="P679" t="s">
        <v>59</v>
      </c>
      <c r="Q679" t="s">
        <v>216</v>
      </c>
      <c r="R679" t="s">
        <v>1221</v>
      </c>
      <c r="S679" s="1">
        <v>44434</v>
      </c>
      <c r="T679" s="1">
        <v>44434</v>
      </c>
      <c r="U679">
        <v>37501</v>
      </c>
      <c r="V679" t="s">
        <v>61</v>
      </c>
      <c r="W679" t="s">
        <v>1222</v>
      </c>
      <c r="X679" s="1">
        <v>44437</v>
      </c>
      <c r="Y679" t="s">
        <v>63</v>
      </c>
      <c r="Z679">
        <v>312.5</v>
      </c>
      <c r="AA679">
        <v>16</v>
      </c>
      <c r="AB679">
        <v>50</v>
      </c>
      <c r="AC679">
        <v>36.25</v>
      </c>
      <c r="AD679">
        <v>398.75</v>
      </c>
      <c r="AE679">
        <v>497.75</v>
      </c>
      <c r="AF679">
        <v>545</v>
      </c>
      <c r="AG679" t="s">
        <v>1211</v>
      </c>
      <c r="AH679" t="s">
        <v>65</v>
      </c>
      <c r="AI679" t="s">
        <v>65</v>
      </c>
      <c r="AJ679" t="s">
        <v>66</v>
      </c>
      <c r="AK679" t="s">
        <v>66</v>
      </c>
      <c r="AL679" t="s">
        <v>66</v>
      </c>
      <c r="AM679" s="2" t="str">
        <f>HYPERLINK("https://transparencia.cidesi.mx/comprobantes/2021/CQ2100701 /C1fact 55959F.pdf")</f>
        <v>https://transparencia.cidesi.mx/comprobantes/2021/CQ2100701 /C1fact 55959F.pdf</v>
      </c>
      <c r="AN679" t="str">
        <f>HYPERLINK("https://transparencia.cidesi.mx/comprobantes/2021/CQ2100701 /C1fact 55959F.pdf")</f>
        <v>https://transparencia.cidesi.mx/comprobantes/2021/CQ2100701 /C1fact 55959F.pdf</v>
      </c>
      <c r="AO679" t="str">
        <f>HYPERLINK("https://transparencia.cidesi.mx/comprobantes/2021/CQ2100701 /C1fact 55959F.xml")</f>
        <v>https://transparencia.cidesi.mx/comprobantes/2021/CQ2100701 /C1fact 55959F.xml</v>
      </c>
      <c r="AP679" t="s">
        <v>1221</v>
      </c>
      <c r="AQ679" t="s">
        <v>1221</v>
      </c>
      <c r="AR679" t="s">
        <v>1218</v>
      </c>
      <c r="AS679" t="s">
        <v>1223</v>
      </c>
      <c r="AT679" s="1">
        <v>44439</v>
      </c>
      <c r="AU679" s="1">
        <v>44440</v>
      </c>
    </row>
    <row r="680" spans="1:47" x14ac:dyDescent="0.3">
      <c r="A680" t="s">
        <v>246</v>
      </c>
      <c r="B680" t="s">
        <v>48</v>
      </c>
      <c r="C680" t="s">
        <v>338</v>
      </c>
      <c r="D680">
        <v>688</v>
      </c>
      <c r="E680" t="s">
        <v>1205</v>
      </c>
      <c r="F680" t="s">
        <v>1206</v>
      </c>
      <c r="G680" t="s">
        <v>1207</v>
      </c>
      <c r="H680" t="s">
        <v>1220</v>
      </c>
      <c r="I680" t="s">
        <v>54</v>
      </c>
      <c r="J680" t="s">
        <v>1221</v>
      </c>
      <c r="K680" t="s">
        <v>56</v>
      </c>
      <c r="L680">
        <v>0</v>
      </c>
      <c r="M680" t="s">
        <v>73</v>
      </c>
      <c r="N680">
        <v>0</v>
      </c>
      <c r="O680" t="s">
        <v>58</v>
      </c>
      <c r="P680" t="s">
        <v>59</v>
      </c>
      <c r="Q680" t="s">
        <v>216</v>
      </c>
      <c r="R680" t="s">
        <v>1221</v>
      </c>
      <c r="S680" s="1">
        <v>44434</v>
      </c>
      <c r="T680" s="1">
        <v>44434</v>
      </c>
      <c r="U680">
        <v>37501</v>
      </c>
      <c r="V680" t="s">
        <v>61</v>
      </c>
      <c r="W680" t="s">
        <v>1222</v>
      </c>
      <c r="X680" s="1">
        <v>44437</v>
      </c>
      <c r="Y680" t="s">
        <v>63</v>
      </c>
      <c r="Z680">
        <v>93.69</v>
      </c>
      <c r="AA680">
        <v>0.16</v>
      </c>
      <c r="AB680">
        <v>5.31</v>
      </c>
      <c r="AC680">
        <v>0</v>
      </c>
      <c r="AD680">
        <v>99</v>
      </c>
      <c r="AE680">
        <v>497.75</v>
      </c>
      <c r="AF680">
        <v>545</v>
      </c>
      <c r="AG680" t="s">
        <v>1211</v>
      </c>
      <c r="AH680" t="s">
        <v>65</v>
      </c>
      <c r="AI680" t="s">
        <v>65</v>
      </c>
      <c r="AJ680" t="s">
        <v>66</v>
      </c>
      <c r="AK680" t="s">
        <v>66</v>
      </c>
      <c r="AL680" t="s">
        <v>66</v>
      </c>
      <c r="AM680" s="2" t="str">
        <f>HYPERLINK("https://transparencia.cidesi.mx/comprobantes/2021/CQ2100701 /C2FACTURA_1630275442092_342705745.pdf")</f>
        <v>https://transparencia.cidesi.mx/comprobantes/2021/CQ2100701 /C2FACTURA_1630275442092_342705745.pdf</v>
      </c>
      <c r="AN680" t="str">
        <f>HYPERLINK("https://transparencia.cidesi.mx/comprobantes/2021/CQ2100701 /C2FACTURA_1630275442092_342705745.pdf")</f>
        <v>https://transparencia.cidesi.mx/comprobantes/2021/CQ2100701 /C2FACTURA_1630275442092_342705745.pdf</v>
      </c>
      <c r="AO680" t="str">
        <f>HYPERLINK("https://transparencia.cidesi.mx/comprobantes/2021/CQ2100701 /C2FACTURA_1630275447303_342705745.xml")</f>
        <v>https://transparencia.cidesi.mx/comprobantes/2021/CQ2100701 /C2FACTURA_1630275447303_342705745.xml</v>
      </c>
      <c r="AP680" t="s">
        <v>1221</v>
      </c>
      <c r="AQ680" t="s">
        <v>1221</v>
      </c>
      <c r="AR680" t="s">
        <v>1218</v>
      </c>
      <c r="AS680" t="s">
        <v>1223</v>
      </c>
      <c r="AT680" s="1">
        <v>44439</v>
      </c>
      <c r="AU680" s="1">
        <v>44440</v>
      </c>
    </row>
    <row r="681" spans="1:47" x14ac:dyDescent="0.3">
      <c r="A681" t="s">
        <v>246</v>
      </c>
      <c r="B681" t="s">
        <v>48</v>
      </c>
      <c r="C681" t="s">
        <v>338</v>
      </c>
      <c r="D681">
        <v>688</v>
      </c>
      <c r="E681" t="s">
        <v>1205</v>
      </c>
      <c r="F681" t="s">
        <v>1206</v>
      </c>
      <c r="G681" t="s">
        <v>1207</v>
      </c>
      <c r="H681" t="s">
        <v>1224</v>
      </c>
      <c r="I681" t="s">
        <v>54</v>
      </c>
      <c r="J681" t="s">
        <v>1225</v>
      </c>
      <c r="K681" t="s">
        <v>56</v>
      </c>
      <c r="L681">
        <v>0</v>
      </c>
      <c r="M681" t="s">
        <v>73</v>
      </c>
      <c r="N681">
        <v>0</v>
      </c>
      <c r="O681" t="s">
        <v>58</v>
      </c>
      <c r="P681" t="s">
        <v>59</v>
      </c>
      <c r="Q681" t="s">
        <v>87</v>
      </c>
      <c r="R681" t="s">
        <v>1225</v>
      </c>
      <c r="S681" s="1">
        <v>44442</v>
      </c>
      <c r="T681" s="1">
        <v>44442</v>
      </c>
      <c r="U681">
        <v>37501</v>
      </c>
      <c r="V681" t="s">
        <v>61</v>
      </c>
      <c r="W681" t="s">
        <v>1226</v>
      </c>
      <c r="X681" s="1">
        <v>44453</v>
      </c>
      <c r="Y681" t="s">
        <v>63</v>
      </c>
      <c r="Z681">
        <v>150.86000000000001</v>
      </c>
      <c r="AA681">
        <v>16</v>
      </c>
      <c r="AB681">
        <v>24.14</v>
      </c>
      <c r="AC681">
        <v>0</v>
      </c>
      <c r="AD681">
        <v>175</v>
      </c>
      <c r="AE681">
        <v>516</v>
      </c>
      <c r="AF681">
        <v>545</v>
      </c>
      <c r="AG681" t="s">
        <v>1211</v>
      </c>
      <c r="AH681" t="s">
        <v>65</v>
      </c>
      <c r="AI681" t="s">
        <v>65</v>
      </c>
      <c r="AJ681" t="s">
        <v>66</v>
      </c>
      <c r="AK681" t="s">
        <v>66</v>
      </c>
      <c r="AL681" t="s">
        <v>66</v>
      </c>
      <c r="AM681" s="2" t="str">
        <f>HYPERLINK("https://transparencia.cidesi.mx/comprobantes/2021/CQ2100802 /C1RORR791119M94_Factura__38121_A4BBDBE7-D24F-47AF-8642-32D8F9C36348.pdf")</f>
        <v>https://transparencia.cidesi.mx/comprobantes/2021/CQ2100802 /C1RORR791119M94_Factura__38121_A4BBDBE7-D24F-47AF-8642-32D8F9C36348.pdf</v>
      </c>
      <c r="AN681" t="str">
        <f>HYPERLINK("https://transparencia.cidesi.mx/comprobantes/2021/CQ2100802 /C1RORR791119M94_Factura__38121_A4BBDBE7-D24F-47AF-8642-32D8F9C36348.pdf")</f>
        <v>https://transparencia.cidesi.mx/comprobantes/2021/CQ2100802 /C1RORR791119M94_Factura__38121_A4BBDBE7-D24F-47AF-8642-32D8F9C36348.pdf</v>
      </c>
      <c r="AO681" t="str">
        <f>HYPERLINK("https://transparencia.cidesi.mx/comprobantes/2021/CQ2100802 /C1RORR791119M94_Factura__38121_A4BBDBE7-D24F-47AF-8642-32D8F9C36348.xml")</f>
        <v>https://transparencia.cidesi.mx/comprobantes/2021/CQ2100802 /C1RORR791119M94_Factura__38121_A4BBDBE7-D24F-47AF-8642-32D8F9C36348.xml</v>
      </c>
      <c r="AP681" t="s">
        <v>1227</v>
      </c>
      <c r="AQ681" t="s">
        <v>1228</v>
      </c>
      <c r="AR681" t="s">
        <v>1229</v>
      </c>
      <c r="AS681" t="s">
        <v>1230</v>
      </c>
      <c r="AT681" s="1">
        <v>44453</v>
      </c>
      <c r="AU681" s="1">
        <v>44453</v>
      </c>
    </row>
    <row r="682" spans="1:47" x14ac:dyDescent="0.3">
      <c r="A682" t="s">
        <v>246</v>
      </c>
      <c r="B682" t="s">
        <v>48</v>
      </c>
      <c r="C682" t="s">
        <v>338</v>
      </c>
      <c r="D682">
        <v>688</v>
      </c>
      <c r="E682" t="s">
        <v>1205</v>
      </c>
      <c r="F682" t="s">
        <v>1206</v>
      </c>
      <c r="G682" t="s">
        <v>1207</v>
      </c>
      <c r="H682" t="s">
        <v>1224</v>
      </c>
      <c r="I682" t="s">
        <v>54</v>
      </c>
      <c r="J682" t="s">
        <v>1225</v>
      </c>
      <c r="K682" t="s">
        <v>56</v>
      </c>
      <c r="L682">
        <v>0</v>
      </c>
      <c r="M682" t="s">
        <v>73</v>
      </c>
      <c r="N682">
        <v>0</v>
      </c>
      <c r="O682" t="s">
        <v>58</v>
      </c>
      <c r="P682" t="s">
        <v>59</v>
      </c>
      <c r="Q682" t="s">
        <v>87</v>
      </c>
      <c r="R682" t="s">
        <v>1225</v>
      </c>
      <c r="S682" s="1">
        <v>44442</v>
      </c>
      <c r="T682" s="1">
        <v>44442</v>
      </c>
      <c r="U682">
        <v>37501</v>
      </c>
      <c r="V682" t="s">
        <v>61</v>
      </c>
      <c r="W682" t="s">
        <v>1226</v>
      </c>
      <c r="X682" s="1">
        <v>44453</v>
      </c>
      <c r="Y682" t="s">
        <v>63</v>
      </c>
      <c r="Z682">
        <v>267.24</v>
      </c>
      <c r="AA682">
        <v>16</v>
      </c>
      <c r="AB682">
        <v>42.76</v>
      </c>
      <c r="AC682">
        <v>31</v>
      </c>
      <c r="AD682">
        <v>341</v>
      </c>
      <c r="AE682">
        <v>516</v>
      </c>
      <c r="AF682">
        <v>545</v>
      </c>
      <c r="AG682" t="s">
        <v>1211</v>
      </c>
      <c r="AH682" t="s">
        <v>65</v>
      </c>
      <c r="AI682" t="s">
        <v>65</v>
      </c>
      <c r="AJ682" t="s">
        <v>66</v>
      </c>
      <c r="AK682" t="s">
        <v>66</v>
      </c>
      <c r="AL682" t="s">
        <v>66</v>
      </c>
      <c r="AM682" s="2" t="str">
        <f>HYPERLINK("https://transparencia.cidesi.mx/comprobantes/2021/CQ2100802 /C2TIWEBDF6551380.pdf")</f>
        <v>https://transparencia.cidesi.mx/comprobantes/2021/CQ2100802 /C2TIWEBDF6551380.pdf</v>
      </c>
      <c r="AN682" t="str">
        <f>HYPERLINK("https://transparencia.cidesi.mx/comprobantes/2021/CQ2100802 /C2TIWEBDF6551380.pdf")</f>
        <v>https://transparencia.cidesi.mx/comprobantes/2021/CQ2100802 /C2TIWEBDF6551380.pdf</v>
      </c>
      <c r="AO682" t="str">
        <f>HYPERLINK("https://transparencia.cidesi.mx/comprobantes/2021/CQ2100802 /C21TIWEBDF000006551380.xml")</f>
        <v>https://transparencia.cidesi.mx/comprobantes/2021/CQ2100802 /C21TIWEBDF000006551380.xml</v>
      </c>
      <c r="AP682" t="s">
        <v>1227</v>
      </c>
      <c r="AQ682" t="s">
        <v>1228</v>
      </c>
      <c r="AR682" t="s">
        <v>1229</v>
      </c>
      <c r="AS682" t="s">
        <v>1230</v>
      </c>
      <c r="AT682" s="1">
        <v>44453</v>
      </c>
      <c r="AU682" s="1">
        <v>44453</v>
      </c>
    </row>
    <row r="683" spans="1:47" x14ac:dyDescent="0.3">
      <c r="A683" t="s">
        <v>246</v>
      </c>
      <c r="B683" t="s">
        <v>48</v>
      </c>
      <c r="C683" t="s">
        <v>338</v>
      </c>
      <c r="D683">
        <v>688</v>
      </c>
      <c r="E683" t="s">
        <v>1205</v>
      </c>
      <c r="F683" t="s">
        <v>1206</v>
      </c>
      <c r="G683" t="s">
        <v>1207</v>
      </c>
      <c r="H683" t="s">
        <v>1231</v>
      </c>
      <c r="I683" t="s">
        <v>54</v>
      </c>
      <c r="J683" t="s">
        <v>1232</v>
      </c>
      <c r="K683" t="s">
        <v>56</v>
      </c>
      <c r="L683">
        <v>0</v>
      </c>
      <c r="M683" t="s">
        <v>73</v>
      </c>
      <c r="N683">
        <v>0</v>
      </c>
      <c r="O683" t="s">
        <v>58</v>
      </c>
      <c r="P683" t="s">
        <v>59</v>
      </c>
      <c r="Q683" t="s">
        <v>216</v>
      </c>
      <c r="R683" t="s">
        <v>1232</v>
      </c>
      <c r="S683" s="1">
        <v>44459</v>
      </c>
      <c r="T683" s="1">
        <v>44459</v>
      </c>
      <c r="U683">
        <v>37501</v>
      </c>
      <c r="V683" t="s">
        <v>61</v>
      </c>
      <c r="W683" t="s">
        <v>1233</v>
      </c>
      <c r="X683" s="1">
        <v>44460</v>
      </c>
      <c r="Y683" t="s">
        <v>63</v>
      </c>
      <c r="Z683">
        <v>366.38</v>
      </c>
      <c r="AA683">
        <v>16</v>
      </c>
      <c r="AB683">
        <v>58.62</v>
      </c>
      <c r="AC683">
        <v>0</v>
      </c>
      <c r="AD683">
        <v>425</v>
      </c>
      <c r="AE683">
        <v>425</v>
      </c>
      <c r="AF683">
        <v>545</v>
      </c>
      <c r="AG683" t="s">
        <v>1211</v>
      </c>
      <c r="AH683" t="s">
        <v>65</v>
      </c>
      <c r="AI683" t="s">
        <v>65</v>
      </c>
      <c r="AJ683" t="s">
        <v>66</v>
      </c>
      <c r="AK683" t="s">
        <v>66</v>
      </c>
      <c r="AL683" t="s">
        <v>66</v>
      </c>
      <c r="AM683" s="2" t="str">
        <f>HYPERLINK("https://transparencia.cidesi.mx/comprobantes/2021/CQ2100852 /C1FW0000001663.pdf")</f>
        <v>https://transparencia.cidesi.mx/comprobantes/2021/CQ2100852 /C1FW0000001663.pdf</v>
      </c>
      <c r="AN683" t="str">
        <f>HYPERLINK("https://transparencia.cidesi.mx/comprobantes/2021/CQ2100852 /C1FW0000001663.pdf")</f>
        <v>https://transparencia.cidesi.mx/comprobantes/2021/CQ2100852 /C1FW0000001663.pdf</v>
      </c>
      <c r="AO683" t="str">
        <f>HYPERLINK("https://transparencia.cidesi.mx/comprobantes/2021/CQ2100852 /C1FW0000001663.xml")</f>
        <v>https://transparencia.cidesi.mx/comprobantes/2021/CQ2100852 /C1FW0000001663.xml</v>
      </c>
      <c r="AP683" t="s">
        <v>1234</v>
      </c>
      <c r="AQ683" t="s">
        <v>1235</v>
      </c>
      <c r="AR683" t="s">
        <v>1236</v>
      </c>
      <c r="AS683" t="s">
        <v>1237</v>
      </c>
      <c r="AT683" s="1">
        <v>44466</v>
      </c>
      <c r="AU683" s="1">
        <v>44470</v>
      </c>
    </row>
    <row r="684" spans="1:47" x14ac:dyDescent="0.3">
      <c r="A684" t="s">
        <v>1238</v>
      </c>
      <c r="B684" t="s">
        <v>182</v>
      </c>
      <c r="C684" t="s">
        <v>1239</v>
      </c>
      <c r="D684">
        <v>694</v>
      </c>
      <c r="E684" t="s">
        <v>1240</v>
      </c>
      <c r="F684" t="s">
        <v>912</v>
      </c>
      <c r="G684" t="s">
        <v>1056</v>
      </c>
      <c r="H684" t="s">
        <v>1241</v>
      </c>
      <c r="I684" t="s">
        <v>54</v>
      </c>
      <c r="J684" t="s">
        <v>1242</v>
      </c>
      <c r="K684" t="s">
        <v>56</v>
      </c>
      <c r="L684">
        <v>0</v>
      </c>
      <c r="M684" t="s">
        <v>73</v>
      </c>
      <c r="N684">
        <v>0</v>
      </c>
      <c r="O684" t="s">
        <v>58</v>
      </c>
      <c r="P684" t="s">
        <v>59</v>
      </c>
      <c r="Q684" t="s">
        <v>60</v>
      </c>
      <c r="R684" t="s">
        <v>1242</v>
      </c>
      <c r="S684" s="1">
        <v>44427</v>
      </c>
      <c r="T684" s="1">
        <v>44427</v>
      </c>
      <c r="U684">
        <v>37501</v>
      </c>
      <c r="V684" t="s">
        <v>61</v>
      </c>
      <c r="W684" t="s">
        <v>1243</v>
      </c>
      <c r="X684" s="1">
        <v>44448</v>
      </c>
      <c r="Y684" t="s">
        <v>63</v>
      </c>
      <c r="Z684">
        <v>453.45</v>
      </c>
      <c r="AA684">
        <v>16</v>
      </c>
      <c r="AB684">
        <v>72.55</v>
      </c>
      <c r="AC684">
        <v>52.6</v>
      </c>
      <c r="AD684">
        <v>578.6</v>
      </c>
      <c r="AE684">
        <v>761.3</v>
      </c>
      <c r="AF684">
        <v>783</v>
      </c>
      <c r="AG684" t="s">
        <v>1244</v>
      </c>
      <c r="AH684" t="s">
        <v>65</v>
      </c>
      <c r="AI684" t="s">
        <v>65</v>
      </c>
      <c r="AJ684" t="s">
        <v>66</v>
      </c>
      <c r="AK684" t="s">
        <v>66</v>
      </c>
      <c r="AL684" t="s">
        <v>66</v>
      </c>
      <c r="AM684" s="2" t="str">
        <f>HYPERLINK("https://transparencia.cidesi.mx/comprobantes/2021/CQ2100761 /C1F18437_CMC061108UI1.pdf")</f>
        <v>https://transparencia.cidesi.mx/comprobantes/2021/CQ2100761 /C1F18437_CMC061108UI1.pdf</v>
      </c>
      <c r="AN684" t="str">
        <f>HYPERLINK("https://transparencia.cidesi.mx/comprobantes/2021/CQ2100761 /C1F18437_CMC061108UI1.pdf")</f>
        <v>https://transparencia.cidesi.mx/comprobantes/2021/CQ2100761 /C1F18437_CMC061108UI1.pdf</v>
      </c>
      <c r="AO684" t="str">
        <f>HYPERLINK("https://transparencia.cidesi.mx/comprobantes/2021/CQ2100761 /C1F18437_CMC061108UI1.xml")</f>
        <v>https://transparencia.cidesi.mx/comprobantes/2021/CQ2100761 /C1F18437_CMC061108UI1.xml</v>
      </c>
      <c r="AP684" t="s">
        <v>1245</v>
      </c>
      <c r="AQ684" t="s">
        <v>1246</v>
      </c>
      <c r="AR684" t="s">
        <v>1247</v>
      </c>
      <c r="AS684" t="s">
        <v>1248</v>
      </c>
      <c r="AT684" s="1">
        <v>44448</v>
      </c>
      <c r="AU684" s="1">
        <v>44452</v>
      </c>
    </row>
    <row r="685" spans="1:47" x14ac:dyDescent="0.3">
      <c r="A685" t="s">
        <v>1238</v>
      </c>
      <c r="B685" t="s">
        <v>182</v>
      </c>
      <c r="C685" t="s">
        <v>1239</v>
      </c>
      <c r="D685">
        <v>694</v>
      </c>
      <c r="E685" t="s">
        <v>1240</v>
      </c>
      <c r="F685" t="s">
        <v>912</v>
      </c>
      <c r="G685" t="s">
        <v>1056</v>
      </c>
      <c r="H685" t="s">
        <v>1241</v>
      </c>
      <c r="I685" t="s">
        <v>54</v>
      </c>
      <c r="J685" t="s">
        <v>1242</v>
      </c>
      <c r="K685" t="s">
        <v>56</v>
      </c>
      <c r="L685">
        <v>0</v>
      </c>
      <c r="M685" t="s">
        <v>73</v>
      </c>
      <c r="N685">
        <v>0</v>
      </c>
      <c r="O685" t="s">
        <v>58</v>
      </c>
      <c r="P685" t="s">
        <v>59</v>
      </c>
      <c r="Q685" t="s">
        <v>60</v>
      </c>
      <c r="R685" t="s">
        <v>1242</v>
      </c>
      <c r="S685" s="1">
        <v>44427</v>
      </c>
      <c r="T685" s="1">
        <v>44427</v>
      </c>
      <c r="U685">
        <v>37501</v>
      </c>
      <c r="V685" t="s">
        <v>61</v>
      </c>
      <c r="W685" t="s">
        <v>1243</v>
      </c>
      <c r="X685" s="1">
        <v>44448</v>
      </c>
      <c r="Y685" t="s">
        <v>63</v>
      </c>
      <c r="Z685">
        <v>157.5</v>
      </c>
      <c r="AA685">
        <v>16</v>
      </c>
      <c r="AB685">
        <v>25.2</v>
      </c>
      <c r="AC685">
        <v>0</v>
      </c>
      <c r="AD685">
        <v>182.7</v>
      </c>
      <c r="AE685">
        <v>761.3</v>
      </c>
      <c r="AF685">
        <v>783</v>
      </c>
      <c r="AG685" t="s">
        <v>1244</v>
      </c>
      <c r="AH685" t="s">
        <v>65</v>
      </c>
      <c r="AI685" t="s">
        <v>65</v>
      </c>
      <c r="AJ685" t="s">
        <v>66</v>
      </c>
      <c r="AK685" t="s">
        <v>66</v>
      </c>
      <c r="AL685" t="s">
        <v>66</v>
      </c>
      <c r="AM685" s="2" t="str">
        <f>HYPERLINK("https://transparencia.cidesi.mx/comprobantes/2021/CQ2100761 /C2F561693_RLI930128AI5.pdf")</f>
        <v>https://transparencia.cidesi.mx/comprobantes/2021/CQ2100761 /C2F561693_RLI930128AI5.pdf</v>
      </c>
      <c r="AN685" t="str">
        <f>HYPERLINK("https://transparencia.cidesi.mx/comprobantes/2021/CQ2100761 /C2F561693_RLI930128AI5.pdf")</f>
        <v>https://transparencia.cidesi.mx/comprobantes/2021/CQ2100761 /C2F561693_RLI930128AI5.pdf</v>
      </c>
      <c r="AO685" t="str">
        <f>HYPERLINK("https://transparencia.cidesi.mx/comprobantes/2021/CQ2100761 /C2F561693_RLI930128AI5.xml")</f>
        <v>https://transparencia.cidesi.mx/comprobantes/2021/CQ2100761 /C2F561693_RLI930128AI5.xml</v>
      </c>
      <c r="AP685" t="s">
        <v>1245</v>
      </c>
      <c r="AQ685" t="s">
        <v>1246</v>
      </c>
      <c r="AR685" t="s">
        <v>1247</v>
      </c>
      <c r="AS685" t="s">
        <v>1248</v>
      </c>
      <c r="AT685" s="1">
        <v>44448</v>
      </c>
      <c r="AU685" s="1">
        <v>44452</v>
      </c>
    </row>
    <row r="686" spans="1:47" x14ac:dyDescent="0.3">
      <c r="A686" t="s">
        <v>47</v>
      </c>
      <c r="B686" t="s">
        <v>224</v>
      </c>
      <c r="C686" t="s">
        <v>225</v>
      </c>
      <c r="D686">
        <v>696</v>
      </c>
      <c r="E686" t="s">
        <v>1249</v>
      </c>
      <c r="F686" t="s">
        <v>1250</v>
      </c>
      <c r="G686" t="s">
        <v>1251</v>
      </c>
      <c r="H686" t="s">
        <v>1252</v>
      </c>
      <c r="I686" t="s">
        <v>54</v>
      </c>
      <c r="J686" t="s">
        <v>1253</v>
      </c>
      <c r="K686" t="s">
        <v>56</v>
      </c>
      <c r="L686">
        <v>0</v>
      </c>
      <c r="M686" t="s">
        <v>73</v>
      </c>
      <c r="N686">
        <v>0</v>
      </c>
      <c r="O686" t="s">
        <v>58</v>
      </c>
      <c r="P686" t="s">
        <v>59</v>
      </c>
      <c r="Q686" t="s">
        <v>216</v>
      </c>
      <c r="R686" t="s">
        <v>1253</v>
      </c>
      <c r="S686" s="1">
        <v>44378</v>
      </c>
      <c r="T686" s="1">
        <v>44378</v>
      </c>
      <c r="U686">
        <v>37501</v>
      </c>
      <c r="V686" t="s">
        <v>61</v>
      </c>
      <c r="W686" t="s">
        <v>1254</v>
      </c>
      <c r="X686" s="1">
        <v>44382</v>
      </c>
      <c r="Y686" t="s">
        <v>63</v>
      </c>
      <c r="Z686">
        <v>312.07</v>
      </c>
      <c r="AA686">
        <v>16</v>
      </c>
      <c r="AB686">
        <v>49.93</v>
      </c>
      <c r="AC686">
        <v>38</v>
      </c>
      <c r="AD686">
        <v>400</v>
      </c>
      <c r="AE686">
        <v>400</v>
      </c>
      <c r="AF686">
        <v>545</v>
      </c>
      <c r="AG686" t="s">
        <v>1255</v>
      </c>
      <c r="AH686" t="s">
        <v>65</v>
      </c>
      <c r="AI686" t="s">
        <v>65</v>
      </c>
      <c r="AJ686" t="s">
        <v>66</v>
      </c>
      <c r="AK686" t="s">
        <v>66</v>
      </c>
      <c r="AL686" t="s">
        <v>66</v>
      </c>
      <c r="AM686" s="2" t="str">
        <f>HYPERLINK("https://transparencia.cidesi.mx/comprobantes/2021/CQ2100456 /C1CID840309UG7F0000018702.pdf")</f>
        <v>https://transparencia.cidesi.mx/comprobantes/2021/CQ2100456 /C1CID840309UG7F0000018702.pdf</v>
      </c>
      <c r="AN686" t="str">
        <f>HYPERLINK("https://transparencia.cidesi.mx/comprobantes/2021/CQ2100456 /C1CID840309UG7F0000018702.pdf")</f>
        <v>https://transparencia.cidesi.mx/comprobantes/2021/CQ2100456 /C1CID840309UG7F0000018702.pdf</v>
      </c>
      <c r="AO686" t="str">
        <f>HYPERLINK("https://transparencia.cidesi.mx/comprobantes/2021/CQ2100456 /C1CID840309UG7F0000018702.xml")</f>
        <v>https://transparencia.cidesi.mx/comprobantes/2021/CQ2100456 /C1CID840309UG7F0000018702.xml</v>
      </c>
      <c r="AP686" t="s">
        <v>1256</v>
      </c>
      <c r="AQ686" t="s">
        <v>1256</v>
      </c>
      <c r="AR686" t="s">
        <v>1256</v>
      </c>
      <c r="AS686" t="s">
        <v>1257</v>
      </c>
      <c r="AT686" s="1">
        <v>44384</v>
      </c>
      <c r="AU686" s="1">
        <v>44389</v>
      </c>
    </row>
    <row r="687" spans="1:47" x14ac:dyDescent="0.3">
      <c r="A687" t="s">
        <v>47</v>
      </c>
      <c r="B687" t="s">
        <v>224</v>
      </c>
      <c r="C687" t="s">
        <v>225</v>
      </c>
      <c r="D687">
        <v>696</v>
      </c>
      <c r="E687" t="s">
        <v>1249</v>
      </c>
      <c r="F687" t="s">
        <v>1250</v>
      </c>
      <c r="G687" t="s">
        <v>1251</v>
      </c>
      <c r="H687" t="s">
        <v>1258</v>
      </c>
      <c r="I687" t="s">
        <v>54</v>
      </c>
      <c r="J687" t="s">
        <v>1253</v>
      </c>
      <c r="K687" t="s">
        <v>56</v>
      </c>
      <c r="L687">
        <v>0</v>
      </c>
      <c r="M687" t="s">
        <v>73</v>
      </c>
      <c r="N687">
        <v>0</v>
      </c>
      <c r="O687" t="s">
        <v>58</v>
      </c>
      <c r="P687" t="s">
        <v>59</v>
      </c>
      <c r="Q687" t="s">
        <v>216</v>
      </c>
      <c r="R687" t="s">
        <v>1253</v>
      </c>
      <c r="S687" s="1">
        <v>44379</v>
      </c>
      <c r="T687" s="1">
        <v>44379</v>
      </c>
      <c r="U687">
        <v>37501</v>
      </c>
      <c r="V687" t="s">
        <v>61</v>
      </c>
      <c r="W687" t="s">
        <v>1259</v>
      </c>
      <c r="X687" s="1">
        <v>44393</v>
      </c>
      <c r="Y687" t="s">
        <v>63</v>
      </c>
      <c r="Z687">
        <v>383</v>
      </c>
      <c r="AA687">
        <v>16</v>
      </c>
      <c r="AB687">
        <v>61.28</v>
      </c>
      <c r="AC687">
        <v>44.42</v>
      </c>
      <c r="AD687">
        <v>488.7</v>
      </c>
      <c r="AE687">
        <v>542.70000000000005</v>
      </c>
      <c r="AF687">
        <v>545</v>
      </c>
      <c r="AG687" t="s">
        <v>1255</v>
      </c>
      <c r="AH687" t="s">
        <v>65</v>
      </c>
      <c r="AI687" t="s">
        <v>65</v>
      </c>
      <c r="AJ687" t="s">
        <v>66</v>
      </c>
      <c r="AK687" t="s">
        <v>66</v>
      </c>
      <c r="AL687" t="s">
        <v>66</v>
      </c>
      <c r="AM687" s="2" t="str">
        <f>HYPERLINK("https://transparencia.cidesi.mx/comprobantes/2021/CQ2100516 /C1fc55347F.pdf")</f>
        <v>https://transparencia.cidesi.mx/comprobantes/2021/CQ2100516 /C1fc55347F.pdf</v>
      </c>
      <c r="AN687" t="str">
        <f>HYPERLINK("https://transparencia.cidesi.mx/comprobantes/2021/CQ2100516 /C1fc55347F.pdf")</f>
        <v>https://transparencia.cidesi.mx/comprobantes/2021/CQ2100516 /C1fc55347F.pdf</v>
      </c>
      <c r="AO687" t="str">
        <f>HYPERLINK("https://transparencia.cidesi.mx/comprobantes/2021/CQ2100516 /C155347F_xml.xml")</f>
        <v>https://transparencia.cidesi.mx/comprobantes/2021/CQ2100516 /C155347F_xml.xml</v>
      </c>
      <c r="AP687" t="s">
        <v>1260</v>
      </c>
      <c r="AQ687" t="s">
        <v>1260</v>
      </c>
      <c r="AR687" t="s">
        <v>1260</v>
      </c>
      <c r="AS687" t="s">
        <v>1261</v>
      </c>
      <c r="AT687" s="1">
        <v>44393</v>
      </c>
      <c r="AU687" s="1">
        <v>44396</v>
      </c>
    </row>
    <row r="688" spans="1:47" x14ac:dyDescent="0.3">
      <c r="A688" t="s">
        <v>47</v>
      </c>
      <c r="B688" t="s">
        <v>224</v>
      </c>
      <c r="C688" t="s">
        <v>225</v>
      </c>
      <c r="D688">
        <v>696</v>
      </c>
      <c r="E688" t="s">
        <v>1249</v>
      </c>
      <c r="F688" t="s">
        <v>1250</v>
      </c>
      <c r="G688" t="s">
        <v>1251</v>
      </c>
      <c r="H688" t="s">
        <v>1258</v>
      </c>
      <c r="I688" t="s">
        <v>54</v>
      </c>
      <c r="J688" t="s">
        <v>1253</v>
      </c>
      <c r="K688" t="s">
        <v>56</v>
      </c>
      <c r="L688">
        <v>0</v>
      </c>
      <c r="M688" t="s">
        <v>73</v>
      </c>
      <c r="N688">
        <v>0</v>
      </c>
      <c r="O688" t="s">
        <v>58</v>
      </c>
      <c r="P688" t="s">
        <v>59</v>
      </c>
      <c r="Q688" t="s">
        <v>216</v>
      </c>
      <c r="R688" t="s">
        <v>1253</v>
      </c>
      <c r="S688" s="1">
        <v>44379</v>
      </c>
      <c r="T688" s="1">
        <v>44379</v>
      </c>
      <c r="U688">
        <v>37501</v>
      </c>
      <c r="V688" t="s">
        <v>61</v>
      </c>
      <c r="W688" t="s">
        <v>1259</v>
      </c>
      <c r="X688" s="1">
        <v>44393</v>
      </c>
      <c r="Y688" t="s">
        <v>63</v>
      </c>
      <c r="Z688">
        <v>54</v>
      </c>
      <c r="AA688">
        <v>0</v>
      </c>
      <c r="AB688">
        <v>0</v>
      </c>
      <c r="AC688">
        <v>0</v>
      </c>
      <c r="AD688">
        <v>54</v>
      </c>
      <c r="AE688">
        <v>542.70000000000005</v>
      </c>
      <c r="AF688">
        <v>545</v>
      </c>
      <c r="AG688" t="s">
        <v>1255</v>
      </c>
      <c r="AH688" t="s">
        <v>65</v>
      </c>
      <c r="AI688" t="s">
        <v>65</v>
      </c>
      <c r="AJ688" t="s">
        <v>66</v>
      </c>
      <c r="AK688" t="s">
        <v>66</v>
      </c>
      <c r="AL688" t="s">
        <v>66</v>
      </c>
      <c r="AM688" s="2" t="str">
        <f>HYPERLINK("https://transparencia.cidesi.mx/comprobantes/2021/CQ2100516 /C2FACTURA_1625584938183_336331183.pdf")</f>
        <v>https://transparencia.cidesi.mx/comprobantes/2021/CQ2100516 /C2FACTURA_1625584938183_336331183.pdf</v>
      </c>
      <c r="AN688" t="str">
        <f>HYPERLINK("https://transparencia.cidesi.mx/comprobantes/2021/CQ2100516 /C2FACTURA_1625584938183_336331183.pdf")</f>
        <v>https://transparencia.cidesi.mx/comprobantes/2021/CQ2100516 /C2FACTURA_1625584938183_336331183.pdf</v>
      </c>
      <c r="AO688" t="str">
        <f>HYPERLINK("https://transparencia.cidesi.mx/comprobantes/2021/CQ2100516 /C2FACTURA_1625584936453_336331183.xml")</f>
        <v>https://transparencia.cidesi.mx/comprobantes/2021/CQ2100516 /C2FACTURA_1625584936453_336331183.xml</v>
      </c>
      <c r="AP688" t="s">
        <v>1260</v>
      </c>
      <c r="AQ688" t="s">
        <v>1260</v>
      </c>
      <c r="AR688" t="s">
        <v>1260</v>
      </c>
      <c r="AS688" t="s">
        <v>1261</v>
      </c>
      <c r="AT688" s="1">
        <v>44393</v>
      </c>
      <c r="AU688" s="1">
        <v>44396</v>
      </c>
    </row>
    <row r="689" spans="1:47" x14ac:dyDescent="0.3">
      <c r="A689" t="s">
        <v>47</v>
      </c>
      <c r="B689" t="s">
        <v>224</v>
      </c>
      <c r="C689" t="s">
        <v>225</v>
      </c>
      <c r="D689">
        <v>696</v>
      </c>
      <c r="E689" t="s">
        <v>1249</v>
      </c>
      <c r="F689" t="s">
        <v>1250</v>
      </c>
      <c r="G689" t="s">
        <v>1251</v>
      </c>
      <c r="H689" t="s">
        <v>1262</v>
      </c>
      <c r="I689" t="s">
        <v>54</v>
      </c>
      <c r="J689" t="s">
        <v>1263</v>
      </c>
      <c r="K689" t="s">
        <v>56</v>
      </c>
      <c r="L689">
        <v>0</v>
      </c>
      <c r="M689" t="s">
        <v>73</v>
      </c>
      <c r="N689">
        <v>0</v>
      </c>
      <c r="O689" t="s">
        <v>58</v>
      </c>
      <c r="P689" t="s">
        <v>59</v>
      </c>
      <c r="Q689" t="s">
        <v>216</v>
      </c>
      <c r="R689" t="s">
        <v>1263</v>
      </c>
      <c r="S689" s="1">
        <v>44382</v>
      </c>
      <c r="T689" s="1">
        <v>44382</v>
      </c>
      <c r="U689">
        <v>37501</v>
      </c>
      <c r="V689" t="s">
        <v>61</v>
      </c>
      <c r="W689" t="s">
        <v>1264</v>
      </c>
      <c r="X689" s="1">
        <v>44384</v>
      </c>
      <c r="Y689" t="s">
        <v>63</v>
      </c>
      <c r="Z689">
        <v>377.59</v>
      </c>
      <c r="AA689">
        <v>16</v>
      </c>
      <c r="AB689">
        <v>60.41</v>
      </c>
      <c r="AC689">
        <v>44</v>
      </c>
      <c r="AD689">
        <v>482</v>
      </c>
      <c r="AE689">
        <v>534.5</v>
      </c>
      <c r="AF689">
        <v>545</v>
      </c>
      <c r="AG689" t="s">
        <v>1255</v>
      </c>
      <c r="AH689" t="s">
        <v>65</v>
      </c>
      <c r="AI689" t="s">
        <v>65</v>
      </c>
      <c r="AJ689" t="s">
        <v>66</v>
      </c>
      <c r="AK689" t="s">
        <v>66</v>
      </c>
      <c r="AL689" t="s">
        <v>66</v>
      </c>
      <c r="AM689" s="2" t="str">
        <f>HYPERLINK("https://transparencia.cidesi.mx/comprobantes/2021/CQ2100480 /C1CID840309UG7F0000018717.pdf")</f>
        <v>https://transparencia.cidesi.mx/comprobantes/2021/CQ2100480 /C1CID840309UG7F0000018717.pdf</v>
      </c>
      <c r="AN689" t="str">
        <f>HYPERLINK("https://transparencia.cidesi.mx/comprobantes/2021/CQ2100480 /C1CID840309UG7F0000018717.pdf")</f>
        <v>https://transparencia.cidesi.mx/comprobantes/2021/CQ2100480 /C1CID840309UG7F0000018717.pdf</v>
      </c>
      <c r="AO689" t="str">
        <f>HYPERLINK("https://transparencia.cidesi.mx/comprobantes/2021/CQ2100480 /C1CID840309UG7F0000018717.xml")</f>
        <v>https://transparencia.cidesi.mx/comprobantes/2021/CQ2100480 /C1CID840309UG7F0000018717.xml</v>
      </c>
      <c r="AP689" t="s">
        <v>1265</v>
      </c>
      <c r="AQ689" t="s">
        <v>1265</v>
      </c>
      <c r="AR689" t="s">
        <v>1265</v>
      </c>
      <c r="AS689" t="s">
        <v>1261</v>
      </c>
      <c r="AT689" s="1">
        <v>44384</v>
      </c>
      <c r="AU689" s="1">
        <v>44389</v>
      </c>
    </row>
    <row r="690" spans="1:47" x14ac:dyDescent="0.3">
      <c r="A690" t="s">
        <v>47</v>
      </c>
      <c r="B690" t="s">
        <v>224</v>
      </c>
      <c r="C690" t="s">
        <v>225</v>
      </c>
      <c r="D690">
        <v>696</v>
      </c>
      <c r="E690" t="s">
        <v>1249</v>
      </c>
      <c r="F690" t="s">
        <v>1250</v>
      </c>
      <c r="G690" t="s">
        <v>1251</v>
      </c>
      <c r="H690" t="s">
        <v>1262</v>
      </c>
      <c r="I690" t="s">
        <v>54</v>
      </c>
      <c r="J690" t="s">
        <v>1263</v>
      </c>
      <c r="K690" t="s">
        <v>56</v>
      </c>
      <c r="L690">
        <v>0</v>
      </c>
      <c r="M690" t="s">
        <v>73</v>
      </c>
      <c r="N690">
        <v>0</v>
      </c>
      <c r="O690" t="s">
        <v>58</v>
      </c>
      <c r="P690" t="s">
        <v>59</v>
      </c>
      <c r="Q690" t="s">
        <v>216</v>
      </c>
      <c r="R690" t="s">
        <v>1263</v>
      </c>
      <c r="S690" s="1">
        <v>44382</v>
      </c>
      <c r="T690" s="1">
        <v>44382</v>
      </c>
      <c r="U690">
        <v>37501</v>
      </c>
      <c r="V690" t="s">
        <v>61</v>
      </c>
      <c r="W690" t="s">
        <v>1264</v>
      </c>
      <c r="X690" s="1">
        <v>44384</v>
      </c>
      <c r="Y690" t="s">
        <v>63</v>
      </c>
      <c r="Z690">
        <v>45.26</v>
      </c>
      <c r="AA690">
        <v>16</v>
      </c>
      <c r="AB690">
        <v>7.24</v>
      </c>
      <c r="AC690">
        <v>0</v>
      </c>
      <c r="AD690">
        <v>52.5</v>
      </c>
      <c r="AE690">
        <v>534.5</v>
      </c>
      <c r="AF690">
        <v>545</v>
      </c>
      <c r="AG690" t="s">
        <v>1255</v>
      </c>
      <c r="AH690" t="s">
        <v>65</v>
      </c>
      <c r="AI690" t="s">
        <v>65</v>
      </c>
      <c r="AJ690" t="s">
        <v>66</v>
      </c>
      <c r="AK690" t="s">
        <v>66</v>
      </c>
      <c r="AL690" t="s">
        <v>66</v>
      </c>
      <c r="AM690" s="2" t="str">
        <f>HYPERLINK("https://transparencia.cidesi.mx/comprobantes/2021/CQ2100480 /C2FACTURA_1625585896042_336333533.pdf")</f>
        <v>https://transparencia.cidesi.mx/comprobantes/2021/CQ2100480 /C2FACTURA_1625585896042_336333533.pdf</v>
      </c>
      <c r="AN690" t="str">
        <f>HYPERLINK("https://transparencia.cidesi.mx/comprobantes/2021/CQ2100480 /C2FACTURA_1625585896042_336333533.pdf")</f>
        <v>https://transparencia.cidesi.mx/comprobantes/2021/CQ2100480 /C2FACTURA_1625585896042_336333533.pdf</v>
      </c>
      <c r="AO690" t="str">
        <f>HYPERLINK("https://transparencia.cidesi.mx/comprobantes/2021/CQ2100480 /C2FACTURA_1625585897852_336333533.xml")</f>
        <v>https://transparencia.cidesi.mx/comprobantes/2021/CQ2100480 /C2FACTURA_1625585897852_336333533.xml</v>
      </c>
      <c r="AP690" t="s">
        <v>1265</v>
      </c>
      <c r="AQ690" t="s">
        <v>1265</v>
      </c>
      <c r="AR690" t="s">
        <v>1265</v>
      </c>
      <c r="AS690" t="s">
        <v>1261</v>
      </c>
      <c r="AT690" s="1">
        <v>44384</v>
      </c>
      <c r="AU690" s="1">
        <v>44389</v>
      </c>
    </row>
    <row r="691" spans="1:47" x14ac:dyDescent="0.3">
      <c r="A691" t="s">
        <v>47</v>
      </c>
      <c r="B691" t="s">
        <v>224</v>
      </c>
      <c r="C691" t="s">
        <v>225</v>
      </c>
      <c r="D691">
        <v>696</v>
      </c>
      <c r="E691" t="s">
        <v>1249</v>
      </c>
      <c r="F691" t="s">
        <v>1250</v>
      </c>
      <c r="G691" t="s">
        <v>1251</v>
      </c>
      <c r="H691" t="s">
        <v>1266</v>
      </c>
      <c r="I691" t="s">
        <v>54</v>
      </c>
      <c r="J691" t="s">
        <v>1267</v>
      </c>
      <c r="K691" t="s">
        <v>56</v>
      </c>
      <c r="L691">
        <v>0</v>
      </c>
      <c r="M691" t="s">
        <v>73</v>
      </c>
      <c r="N691">
        <v>0</v>
      </c>
      <c r="O691" t="s">
        <v>58</v>
      </c>
      <c r="P691" t="s">
        <v>59</v>
      </c>
      <c r="Q691" t="s">
        <v>421</v>
      </c>
      <c r="R691" t="s">
        <v>1267</v>
      </c>
      <c r="S691" s="1">
        <v>44410</v>
      </c>
      <c r="T691" s="1">
        <v>44411</v>
      </c>
      <c r="U691">
        <v>37501</v>
      </c>
      <c r="V691" t="s">
        <v>104</v>
      </c>
      <c r="W691" t="s">
        <v>1268</v>
      </c>
      <c r="X691" s="1">
        <v>44412</v>
      </c>
      <c r="Y691" t="s">
        <v>63</v>
      </c>
      <c r="Z691">
        <v>1009.4</v>
      </c>
      <c r="AA691">
        <v>16</v>
      </c>
      <c r="AB691">
        <v>156.80000000000001</v>
      </c>
      <c r="AC691">
        <v>0</v>
      </c>
      <c r="AD691">
        <v>1166.2</v>
      </c>
      <c r="AE691">
        <v>1519.3</v>
      </c>
      <c r="AF691">
        <v>1636</v>
      </c>
      <c r="AG691" t="s">
        <v>1269</v>
      </c>
      <c r="AH691" t="s">
        <v>65</v>
      </c>
      <c r="AI691" t="s">
        <v>65</v>
      </c>
      <c r="AJ691" t="s">
        <v>66</v>
      </c>
      <c r="AK691" t="s">
        <v>66</v>
      </c>
      <c r="AL691" t="s">
        <v>66</v>
      </c>
      <c r="AM691" s="2" t="str">
        <f>HYPERLINK("https://transparencia.cidesi.mx/comprobantes/2021/CQ2100604 /C1CID840309UG7_38278_A_F32FF1ED-78E7-4D5C-B71B-5999D71A2CD1.pdf")</f>
        <v>https://transparencia.cidesi.mx/comprobantes/2021/CQ2100604 /C1CID840309UG7_38278_A_F32FF1ED-78E7-4D5C-B71B-5999D71A2CD1.pdf</v>
      </c>
      <c r="AN691" t="str">
        <f>HYPERLINK("https://transparencia.cidesi.mx/comprobantes/2021/CQ2100604 /C1CID840309UG7_38278_A_F32FF1ED-78E7-4D5C-B71B-5999D71A2CD1.pdf")</f>
        <v>https://transparencia.cidesi.mx/comprobantes/2021/CQ2100604 /C1CID840309UG7_38278_A_F32FF1ED-78E7-4D5C-B71B-5999D71A2CD1.pdf</v>
      </c>
      <c r="AO691" t="str">
        <f>HYPERLINK("https://transparencia.cidesi.mx/comprobantes/2021/CQ2100604 /C1CID840309UG7_38278_A_F32FF1ED-78E7-4D5C-B71B-5999D71A2CD1.xml")</f>
        <v>https://transparencia.cidesi.mx/comprobantes/2021/CQ2100604 /C1CID840309UG7_38278_A_F32FF1ED-78E7-4D5C-B71B-5999D71A2CD1.xml</v>
      </c>
      <c r="AP691" t="s">
        <v>1270</v>
      </c>
      <c r="AQ691" t="s">
        <v>1270</v>
      </c>
      <c r="AR691" t="s">
        <v>1270</v>
      </c>
      <c r="AS691" t="s">
        <v>1257</v>
      </c>
      <c r="AT691" s="1">
        <v>44419</v>
      </c>
      <c r="AU691" s="1">
        <v>44424</v>
      </c>
    </row>
    <row r="692" spans="1:47" x14ac:dyDescent="0.3">
      <c r="A692" t="s">
        <v>47</v>
      </c>
      <c r="B692" t="s">
        <v>224</v>
      </c>
      <c r="C692" t="s">
        <v>225</v>
      </c>
      <c r="D692">
        <v>696</v>
      </c>
      <c r="E692" t="s">
        <v>1249</v>
      </c>
      <c r="F692" t="s">
        <v>1250</v>
      </c>
      <c r="G692" t="s">
        <v>1251</v>
      </c>
      <c r="H692" t="s">
        <v>1266</v>
      </c>
      <c r="I692" t="s">
        <v>54</v>
      </c>
      <c r="J692" t="s">
        <v>1267</v>
      </c>
      <c r="K692" t="s">
        <v>56</v>
      </c>
      <c r="L692">
        <v>0</v>
      </c>
      <c r="M692" t="s">
        <v>73</v>
      </c>
      <c r="N692">
        <v>0</v>
      </c>
      <c r="O692" t="s">
        <v>58</v>
      </c>
      <c r="P692" t="s">
        <v>59</v>
      </c>
      <c r="Q692" t="s">
        <v>421</v>
      </c>
      <c r="R692" t="s">
        <v>1267</v>
      </c>
      <c r="S692" s="1">
        <v>44410</v>
      </c>
      <c r="T692" s="1">
        <v>44411</v>
      </c>
      <c r="U692">
        <v>37501</v>
      </c>
      <c r="V692" t="s">
        <v>61</v>
      </c>
      <c r="W692" t="s">
        <v>1268</v>
      </c>
      <c r="X692" s="1">
        <v>44412</v>
      </c>
      <c r="Y692" t="s">
        <v>63</v>
      </c>
      <c r="Z692">
        <v>276.72000000000003</v>
      </c>
      <c r="AA692">
        <v>16</v>
      </c>
      <c r="AB692">
        <v>44.28</v>
      </c>
      <c r="AC692">
        <v>32.1</v>
      </c>
      <c r="AD692">
        <v>353.1</v>
      </c>
      <c r="AE692">
        <v>1519.3</v>
      </c>
      <c r="AF692">
        <v>1636</v>
      </c>
      <c r="AG692" t="s">
        <v>1255</v>
      </c>
      <c r="AH692" t="s">
        <v>65</v>
      </c>
      <c r="AI692" t="s">
        <v>65</v>
      </c>
      <c r="AJ692" t="s">
        <v>66</v>
      </c>
      <c r="AK692" t="s">
        <v>66</v>
      </c>
      <c r="AL692" t="s">
        <v>66</v>
      </c>
      <c r="AM692" s="2" t="str">
        <f>HYPERLINK("https://transparencia.cidesi.mx/comprobantes/2021/CQ2100604 /C2CGDSA89906_NDG071019LH4.pdf")</f>
        <v>https://transparencia.cidesi.mx/comprobantes/2021/CQ2100604 /C2CGDSA89906_NDG071019LH4.pdf</v>
      </c>
      <c r="AN692" t="str">
        <f>HYPERLINK("https://transparencia.cidesi.mx/comprobantes/2021/CQ2100604 /C2CGDSA89906_NDG071019LH4.pdf")</f>
        <v>https://transparencia.cidesi.mx/comprobantes/2021/CQ2100604 /C2CGDSA89906_NDG071019LH4.pdf</v>
      </c>
      <c r="AO692" t="str">
        <f>HYPERLINK("https://transparencia.cidesi.mx/comprobantes/2021/CQ2100604 /C2CGDSA89906_NDG071019LH4.xml")</f>
        <v>https://transparencia.cidesi.mx/comprobantes/2021/CQ2100604 /C2CGDSA89906_NDG071019LH4.xml</v>
      </c>
      <c r="AP692" t="s">
        <v>1270</v>
      </c>
      <c r="AQ692" t="s">
        <v>1270</v>
      </c>
      <c r="AR692" t="s">
        <v>1270</v>
      </c>
      <c r="AS692" t="s">
        <v>1257</v>
      </c>
      <c r="AT692" s="1">
        <v>44419</v>
      </c>
      <c r="AU692" s="1">
        <v>44424</v>
      </c>
    </row>
    <row r="693" spans="1:47" x14ac:dyDescent="0.3">
      <c r="A693" t="s">
        <v>47</v>
      </c>
      <c r="B693" t="s">
        <v>224</v>
      </c>
      <c r="C693" t="s">
        <v>225</v>
      </c>
      <c r="D693">
        <v>696</v>
      </c>
      <c r="E693" t="s">
        <v>1249</v>
      </c>
      <c r="F693" t="s">
        <v>1250</v>
      </c>
      <c r="G693" t="s">
        <v>1251</v>
      </c>
      <c r="H693" t="s">
        <v>1271</v>
      </c>
      <c r="I693" t="s">
        <v>54</v>
      </c>
      <c r="J693" t="s">
        <v>1272</v>
      </c>
      <c r="K693" t="s">
        <v>56</v>
      </c>
      <c r="L693">
        <v>0</v>
      </c>
      <c r="M693" t="s">
        <v>73</v>
      </c>
      <c r="N693">
        <v>0</v>
      </c>
      <c r="O693" t="s">
        <v>58</v>
      </c>
      <c r="P693" t="s">
        <v>59</v>
      </c>
      <c r="Q693" t="s">
        <v>1042</v>
      </c>
      <c r="R693" t="s">
        <v>1272</v>
      </c>
      <c r="S693" s="1">
        <v>44441</v>
      </c>
      <c r="T693" s="1">
        <v>44445</v>
      </c>
      <c r="U693">
        <v>37501</v>
      </c>
      <c r="V693" t="s">
        <v>104</v>
      </c>
      <c r="W693" t="s">
        <v>1273</v>
      </c>
      <c r="X693" s="1">
        <v>44447</v>
      </c>
      <c r="Y693" t="s">
        <v>63</v>
      </c>
      <c r="Z693">
        <v>2317.4899999999998</v>
      </c>
      <c r="AA693">
        <v>16</v>
      </c>
      <c r="AB693">
        <v>363.53</v>
      </c>
      <c r="AC693">
        <v>0</v>
      </c>
      <c r="AD693">
        <v>2681.02</v>
      </c>
      <c r="AE693">
        <v>3955.68</v>
      </c>
      <c r="AF693">
        <v>4909</v>
      </c>
      <c r="AG693" t="s">
        <v>1269</v>
      </c>
      <c r="AH693" t="s">
        <v>65</v>
      </c>
      <c r="AI693" t="s">
        <v>65</v>
      </c>
      <c r="AJ693" t="s">
        <v>66</v>
      </c>
      <c r="AK693" t="s">
        <v>66</v>
      </c>
      <c r="AL693" t="s">
        <v>66</v>
      </c>
      <c r="AM693" s="2" t="str">
        <f>HYPERLINK("https://transparencia.cidesi.mx/comprobantes/2021/CQ2100756 /C1A8330.pdf")</f>
        <v>https://transparencia.cidesi.mx/comprobantes/2021/CQ2100756 /C1A8330.pdf</v>
      </c>
      <c r="AN693" t="str">
        <f>HYPERLINK("https://transparencia.cidesi.mx/comprobantes/2021/CQ2100756 /C1A8330.pdf")</f>
        <v>https://transparencia.cidesi.mx/comprobantes/2021/CQ2100756 /C1A8330.pdf</v>
      </c>
      <c r="AO693" t="str">
        <f>HYPERLINK("https://transparencia.cidesi.mx/comprobantes/2021/CQ2100756 /C1A8330.xml")</f>
        <v>https://transparencia.cidesi.mx/comprobantes/2021/CQ2100756 /C1A8330.xml</v>
      </c>
      <c r="AP693" t="s">
        <v>1274</v>
      </c>
      <c r="AQ693" t="s">
        <v>1275</v>
      </c>
      <c r="AR693" t="s">
        <v>1275</v>
      </c>
      <c r="AS693" t="s">
        <v>1257</v>
      </c>
      <c r="AT693" s="1">
        <v>44452</v>
      </c>
      <c r="AU693" s="1">
        <v>44467</v>
      </c>
    </row>
    <row r="694" spans="1:47" x14ac:dyDescent="0.3">
      <c r="A694" t="s">
        <v>47</v>
      </c>
      <c r="B694" t="s">
        <v>224</v>
      </c>
      <c r="C694" t="s">
        <v>225</v>
      </c>
      <c r="D694">
        <v>696</v>
      </c>
      <c r="E694" t="s">
        <v>1249</v>
      </c>
      <c r="F694" t="s">
        <v>1250</v>
      </c>
      <c r="G694" t="s">
        <v>1251</v>
      </c>
      <c r="H694" t="s">
        <v>1271</v>
      </c>
      <c r="I694" t="s">
        <v>54</v>
      </c>
      <c r="J694" t="s">
        <v>1272</v>
      </c>
      <c r="K694" t="s">
        <v>56</v>
      </c>
      <c r="L694">
        <v>0</v>
      </c>
      <c r="M694" t="s">
        <v>73</v>
      </c>
      <c r="N694">
        <v>0</v>
      </c>
      <c r="O694" t="s">
        <v>58</v>
      </c>
      <c r="P694" t="s">
        <v>59</v>
      </c>
      <c r="Q694" t="s">
        <v>1042</v>
      </c>
      <c r="R694" t="s">
        <v>1272</v>
      </c>
      <c r="S694" s="1">
        <v>44441</v>
      </c>
      <c r="T694" s="1">
        <v>44445</v>
      </c>
      <c r="U694">
        <v>37501</v>
      </c>
      <c r="V694" t="s">
        <v>61</v>
      </c>
      <c r="W694" t="s">
        <v>1273</v>
      </c>
      <c r="X694" s="1">
        <v>44447</v>
      </c>
      <c r="Y694" t="s">
        <v>63</v>
      </c>
      <c r="Z694">
        <v>193.97</v>
      </c>
      <c r="AA694">
        <v>16</v>
      </c>
      <c r="AB694">
        <v>31.03</v>
      </c>
      <c r="AC694">
        <v>22.5</v>
      </c>
      <c r="AD694">
        <v>247.5</v>
      </c>
      <c r="AE694">
        <v>3955.68</v>
      </c>
      <c r="AF694">
        <v>4909</v>
      </c>
      <c r="AG694" t="s">
        <v>1255</v>
      </c>
      <c r="AH694" t="s">
        <v>65</v>
      </c>
      <c r="AI694" t="s">
        <v>65</v>
      </c>
      <c r="AJ694" t="s">
        <v>66</v>
      </c>
      <c r="AK694" t="s">
        <v>66</v>
      </c>
      <c r="AL694" t="s">
        <v>66</v>
      </c>
      <c r="AM694" s="2" t="str">
        <f>HYPERLINK("https://transparencia.cidesi.mx/comprobantes/2021/CQ2100756 /C2B60066.pdf")</f>
        <v>https://transparencia.cidesi.mx/comprobantes/2021/CQ2100756 /C2B60066.pdf</v>
      </c>
      <c r="AN694" t="str">
        <f>HYPERLINK("https://transparencia.cidesi.mx/comprobantes/2021/CQ2100756 /C2B60066.pdf")</f>
        <v>https://transparencia.cidesi.mx/comprobantes/2021/CQ2100756 /C2B60066.pdf</v>
      </c>
      <c r="AO694" t="str">
        <f>HYPERLINK("https://transparencia.cidesi.mx/comprobantes/2021/CQ2100756 /C2B60066.xml")</f>
        <v>https://transparencia.cidesi.mx/comprobantes/2021/CQ2100756 /C2B60066.xml</v>
      </c>
      <c r="AP694" t="s">
        <v>1274</v>
      </c>
      <c r="AQ694" t="s">
        <v>1275</v>
      </c>
      <c r="AR694" t="s">
        <v>1275</v>
      </c>
      <c r="AS694" t="s">
        <v>1257</v>
      </c>
      <c r="AT694" s="1">
        <v>44452</v>
      </c>
      <c r="AU694" s="1">
        <v>44467</v>
      </c>
    </row>
    <row r="695" spans="1:47" x14ac:dyDescent="0.3">
      <c r="A695" t="s">
        <v>47</v>
      </c>
      <c r="B695" t="s">
        <v>224</v>
      </c>
      <c r="C695" t="s">
        <v>225</v>
      </c>
      <c r="D695">
        <v>696</v>
      </c>
      <c r="E695" t="s">
        <v>1249</v>
      </c>
      <c r="F695" t="s">
        <v>1250</v>
      </c>
      <c r="G695" t="s">
        <v>1251</v>
      </c>
      <c r="H695" t="s">
        <v>1271</v>
      </c>
      <c r="I695" t="s">
        <v>54</v>
      </c>
      <c r="J695" t="s">
        <v>1272</v>
      </c>
      <c r="K695" t="s">
        <v>56</v>
      </c>
      <c r="L695">
        <v>0</v>
      </c>
      <c r="M695" t="s">
        <v>73</v>
      </c>
      <c r="N695">
        <v>0</v>
      </c>
      <c r="O695" t="s">
        <v>58</v>
      </c>
      <c r="P695" t="s">
        <v>59</v>
      </c>
      <c r="Q695" t="s">
        <v>1042</v>
      </c>
      <c r="R695" t="s">
        <v>1272</v>
      </c>
      <c r="S695" s="1">
        <v>44441</v>
      </c>
      <c r="T695" s="1">
        <v>44445</v>
      </c>
      <c r="U695">
        <v>37501</v>
      </c>
      <c r="V695" t="s">
        <v>61</v>
      </c>
      <c r="W695" t="s">
        <v>1273</v>
      </c>
      <c r="X695" s="1">
        <v>44447</v>
      </c>
      <c r="Y695" t="s">
        <v>63</v>
      </c>
      <c r="Z695">
        <v>304.31</v>
      </c>
      <c r="AA695">
        <v>16</v>
      </c>
      <c r="AB695">
        <v>48.69</v>
      </c>
      <c r="AC695">
        <v>0</v>
      </c>
      <c r="AD695">
        <v>353</v>
      </c>
      <c r="AE695">
        <v>3955.68</v>
      </c>
      <c r="AF695">
        <v>4909</v>
      </c>
      <c r="AG695" t="s">
        <v>1255</v>
      </c>
      <c r="AH695" t="s">
        <v>65</v>
      </c>
      <c r="AI695" t="s">
        <v>65</v>
      </c>
      <c r="AJ695" t="s">
        <v>66</v>
      </c>
      <c r="AK695" t="s">
        <v>66</v>
      </c>
      <c r="AL695" t="s">
        <v>66</v>
      </c>
      <c r="AM695" s="2" t="str">
        <f>HYPERLINK("https://transparencia.cidesi.mx/comprobantes/2021/CQ2100756 /C3RORR791119M94_Factura__38155_C89005DC-DF19-4555-BC58-76F2E9942258.pdf")</f>
        <v>https://transparencia.cidesi.mx/comprobantes/2021/CQ2100756 /C3RORR791119M94_Factura__38155_C89005DC-DF19-4555-BC58-76F2E9942258.pdf</v>
      </c>
      <c r="AN695" t="str">
        <f>HYPERLINK("https://transparencia.cidesi.mx/comprobantes/2021/CQ2100756 /C3RORR791119M94_Factura__38155_C89005DC-DF19-4555-BC58-76F2E9942258.pdf")</f>
        <v>https://transparencia.cidesi.mx/comprobantes/2021/CQ2100756 /C3RORR791119M94_Factura__38155_C89005DC-DF19-4555-BC58-76F2E9942258.pdf</v>
      </c>
      <c r="AO695" t="str">
        <f>HYPERLINK("https://transparencia.cidesi.mx/comprobantes/2021/CQ2100756 /C3RORR791119M94_Factura__38155_C89005DC-DF19-4555-BC58-76F2E9942258.xml")</f>
        <v>https://transparencia.cidesi.mx/comprobantes/2021/CQ2100756 /C3RORR791119M94_Factura__38155_C89005DC-DF19-4555-BC58-76F2E9942258.xml</v>
      </c>
      <c r="AP695" t="s">
        <v>1274</v>
      </c>
      <c r="AQ695" t="s">
        <v>1275</v>
      </c>
      <c r="AR695" t="s">
        <v>1275</v>
      </c>
      <c r="AS695" t="s">
        <v>1257</v>
      </c>
      <c r="AT695" s="1">
        <v>44452</v>
      </c>
      <c r="AU695" s="1">
        <v>44467</v>
      </c>
    </row>
    <row r="696" spans="1:47" x14ac:dyDescent="0.3">
      <c r="A696" t="s">
        <v>47</v>
      </c>
      <c r="B696" t="s">
        <v>224</v>
      </c>
      <c r="C696" t="s">
        <v>225</v>
      </c>
      <c r="D696">
        <v>696</v>
      </c>
      <c r="E696" t="s">
        <v>1249</v>
      </c>
      <c r="F696" t="s">
        <v>1250</v>
      </c>
      <c r="G696" t="s">
        <v>1251</v>
      </c>
      <c r="H696" t="s">
        <v>1271</v>
      </c>
      <c r="I696" t="s">
        <v>54</v>
      </c>
      <c r="J696" t="s">
        <v>1272</v>
      </c>
      <c r="K696" t="s">
        <v>56</v>
      </c>
      <c r="L696">
        <v>0</v>
      </c>
      <c r="M696" t="s">
        <v>73</v>
      </c>
      <c r="N696">
        <v>0</v>
      </c>
      <c r="O696" t="s">
        <v>58</v>
      </c>
      <c r="P696" t="s">
        <v>59</v>
      </c>
      <c r="Q696" t="s">
        <v>1042</v>
      </c>
      <c r="R696" t="s">
        <v>1272</v>
      </c>
      <c r="S696" s="1">
        <v>44441</v>
      </c>
      <c r="T696" s="1">
        <v>44445</v>
      </c>
      <c r="U696">
        <v>37501</v>
      </c>
      <c r="V696" t="s">
        <v>61</v>
      </c>
      <c r="W696" t="s">
        <v>1273</v>
      </c>
      <c r="X696" s="1">
        <v>44447</v>
      </c>
      <c r="Y696" t="s">
        <v>63</v>
      </c>
      <c r="Z696">
        <v>231.6</v>
      </c>
      <c r="AA696">
        <v>16</v>
      </c>
      <c r="AB696">
        <v>37.06</v>
      </c>
      <c r="AC696">
        <v>0</v>
      </c>
      <c r="AD696">
        <v>268.66000000000003</v>
      </c>
      <c r="AE696">
        <v>3955.68</v>
      </c>
      <c r="AF696">
        <v>4909</v>
      </c>
      <c r="AG696" t="s">
        <v>1255</v>
      </c>
      <c r="AH696" t="s">
        <v>65</v>
      </c>
      <c r="AI696" t="s">
        <v>65</v>
      </c>
      <c r="AJ696" t="s">
        <v>66</v>
      </c>
      <c r="AK696" t="s">
        <v>66</v>
      </c>
      <c r="AL696" t="s">
        <v>66</v>
      </c>
      <c r="AM696" s="2" t="str">
        <f>HYPERLINK("https://transparencia.cidesi.mx/comprobantes/2021/CQ2100756 /C4BE2B94E0-4BF0-4513-BD3E-FD9C9DCA6322.pdf")</f>
        <v>https://transparencia.cidesi.mx/comprobantes/2021/CQ2100756 /C4BE2B94E0-4BF0-4513-BD3E-FD9C9DCA6322.pdf</v>
      </c>
      <c r="AN696" t="str">
        <f>HYPERLINK("https://transparencia.cidesi.mx/comprobantes/2021/CQ2100756 /C4BE2B94E0-4BF0-4513-BD3E-FD9C9DCA6322.pdf")</f>
        <v>https://transparencia.cidesi.mx/comprobantes/2021/CQ2100756 /C4BE2B94E0-4BF0-4513-BD3E-FD9C9DCA6322.pdf</v>
      </c>
      <c r="AO696" t="str">
        <f>HYPERLINK("https://transparencia.cidesi.mx/comprobantes/2021/CQ2100756 /C4BE2B94E0-4BF0-4513-BD3E-FD9C9DCA6322.xml")</f>
        <v>https://transparencia.cidesi.mx/comprobantes/2021/CQ2100756 /C4BE2B94E0-4BF0-4513-BD3E-FD9C9DCA6322.xml</v>
      </c>
      <c r="AP696" t="s">
        <v>1274</v>
      </c>
      <c r="AQ696" t="s">
        <v>1275</v>
      </c>
      <c r="AR696" t="s">
        <v>1275</v>
      </c>
      <c r="AS696" t="s">
        <v>1257</v>
      </c>
      <c r="AT696" s="1">
        <v>44452</v>
      </c>
      <c r="AU696" s="1">
        <v>44467</v>
      </c>
    </row>
    <row r="697" spans="1:47" x14ac:dyDescent="0.3">
      <c r="A697" t="s">
        <v>47</v>
      </c>
      <c r="B697" t="s">
        <v>224</v>
      </c>
      <c r="C697" t="s">
        <v>225</v>
      </c>
      <c r="D697">
        <v>696</v>
      </c>
      <c r="E697" t="s">
        <v>1249</v>
      </c>
      <c r="F697" t="s">
        <v>1250</v>
      </c>
      <c r="G697" t="s">
        <v>1251</v>
      </c>
      <c r="H697" t="s">
        <v>1271</v>
      </c>
      <c r="I697" t="s">
        <v>54</v>
      </c>
      <c r="J697" t="s">
        <v>1272</v>
      </c>
      <c r="K697" t="s">
        <v>56</v>
      </c>
      <c r="L697">
        <v>0</v>
      </c>
      <c r="M697" t="s">
        <v>73</v>
      </c>
      <c r="N697">
        <v>0</v>
      </c>
      <c r="O697" t="s">
        <v>58</v>
      </c>
      <c r="P697" t="s">
        <v>59</v>
      </c>
      <c r="Q697" t="s">
        <v>1042</v>
      </c>
      <c r="R697" t="s">
        <v>1272</v>
      </c>
      <c r="S697" s="1">
        <v>44441</v>
      </c>
      <c r="T697" s="1">
        <v>44445</v>
      </c>
      <c r="U697">
        <v>37501</v>
      </c>
      <c r="V697" t="s">
        <v>61</v>
      </c>
      <c r="W697" t="s">
        <v>1273</v>
      </c>
      <c r="X697" s="1">
        <v>44447</v>
      </c>
      <c r="Y697" t="s">
        <v>63</v>
      </c>
      <c r="Z697">
        <v>215.52</v>
      </c>
      <c r="AA697">
        <v>16</v>
      </c>
      <c r="AB697">
        <v>34.479999999999997</v>
      </c>
      <c r="AC697">
        <v>25</v>
      </c>
      <c r="AD697">
        <v>275</v>
      </c>
      <c r="AE697">
        <v>3955.68</v>
      </c>
      <c r="AF697">
        <v>4909</v>
      </c>
      <c r="AG697" t="s">
        <v>1255</v>
      </c>
      <c r="AH697" t="s">
        <v>65</v>
      </c>
      <c r="AI697" t="s">
        <v>65</v>
      </c>
      <c r="AJ697" t="s">
        <v>66</v>
      </c>
      <c r="AK697" t="s">
        <v>66</v>
      </c>
      <c r="AL697" t="s">
        <v>66</v>
      </c>
      <c r="AM697" s="2" t="str">
        <f>HYPERLINK("https://transparencia.cidesi.mx/comprobantes/2021/CQ2100756 /C5attach475822_CID840309UG7A1883.pdf")</f>
        <v>https://transparencia.cidesi.mx/comprobantes/2021/CQ2100756 /C5attach475822_CID840309UG7A1883.pdf</v>
      </c>
      <c r="AN697" t="str">
        <f>HYPERLINK("https://transparencia.cidesi.mx/comprobantes/2021/CQ2100756 /C5attach475822_CID840309UG7A1883.pdf")</f>
        <v>https://transparencia.cidesi.mx/comprobantes/2021/CQ2100756 /C5attach475822_CID840309UG7A1883.pdf</v>
      </c>
      <c r="AO697" t="str">
        <f>HYPERLINK("https://transparencia.cidesi.mx/comprobantes/2021/CQ2100756 /C5attach475823_CID840309UG7A1883.xml")</f>
        <v>https://transparencia.cidesi.mx/comprobantes/2021/CQ2100756 /C5attach475823_CID840309UG7A1883.xml</v>
      </c>
      <c r="AP697" t="s">
        <v>1274</v>
      </c>
      <c r="AQ697" t="s">
        <v>1275</v>
      </c>
      <c r="AR697" t="s">
        <v>1275</v>
      </c>
      <c r="AS697" t="s">
        <v>1257</v>
      </c>
      <c r="AT697" s="1">
        <v>44452</v>
      </c>
      <c r="AU697" s="1">
        <v>44467</v>
      </c>
    </row>
    <row r="698" spans="1:47" x14ac:dyDescent="0.3">
      <c r="A698" t="s">
        <v>47</v>
      </c>
      <c r="B698" t="s">
        <v>224</v>
      </c>
      <c r="C698" t="s">
        <v>225</v>
      </c>
      <c r="D698">
        <v>696</v>
      </c>
      <c r="E698" t="s">
        <v>1249</v>
      </c>
      <c r="F698" t="s">
        <v>1250</v>
      </c>
      <c r="G698" t="s">
        <v>1251</v>
      </c>
      <c r="H698" t="s">
        <v>1271</v>
      </c>
      <c r="I698" t="s">
        <v>54</v>
      </c>
      <c r="J698" t="s">
        <v>1272</v>
      </c>
      <c r="K698" t="s">
        <v>56</v>
      </c>
      <c r="L698">
        <v>0</v>
      </c>
      <c r="M698" t="s">
        <v>73</v>
      </c>
      <c r="N698">
        <v>0</v>
      </c>
      <c r="O698" t="s">
        <v>58</v>
      </c>
      <c r="P698" t="s">
        <v>59</v>
      </c>
      <c r="Q698" t="s">
        <v>1042</v>
      </c>
      <c r="R698" t="s">
        <v>1272</v>
      </c>
      <c r="S698" s="1">
        <v>44441</v>
      </c>
      <c r="T698" s="1">
        <v>44445</v>
      </c>
      <c r="U698">
        <v>37501</v>
      </c>
      <c r="V698" t="s">
        <v>61</v>
      </c>
      <c r="W698" t="s">
        <v>1273</v>
      </c>
      <c r="X698" s="1">
        <v>44447</v>
      </c>
      <c r="Y698" t="s">
        <v>63</v>
      </c>
      <c r="Z698">
        <v>43.72</v>
      </c>
      <c r="AA698">
        <v>16</v>
      </c>
      <c r="AB698">
        <v>4.28</v>
      </c>
      <c r="AC698">
        <v>0</v>
      </c>
      <c r="AD698">
        <v>48</v>
      </c>
      <c r="AE698">
        <v>3955.68</v>
      </c>
      <c r="AF698">
        <v>4909</v>
      </c>
      <c r="AG698" t="s">
        <v>1255</v>
      </c>
      <c r="AH698" t="s">
        <v>65</v>
      </c>
      <c r="AI698" t="s">
        <v>65</v>
      </c>
      <c r="AJ698" t="s">
        <v>66</v>
      </c>
      <c r="AK698" t="s">
        <v>66</v>
      </c>
      <c r="AL698" t="s">
        <v>66</v>
      </c>
      <c r="AM698" s="2" t="str">
        <f>HYPERLINK("https://transparencia.cidesi.mx/comprobantes/2021/CQ2100756 /C6FACTURA OXXO_344513993.pdf")</f>
        <v>https://transparencia.cidesi.mx/comprobantes/2021/CQ2100756 /C6FACTURA OXXO_344513993.pdf</v>
      </c>
      <c r="AN698" t="str">
        <f>HYPERLINK("https://transparencia.cidesi.mx/comprobantes/2021/CQ2100756 /C6FACTURA OXXO_344513993.pdf")</f>
        <v>https://transparencia.cidesi.mx/comprobantes/2021/CQ2100756 /C6FACTURA OXXO_344513993.pdf</v>
      </c>
      <c r="AO698" t="str">
        <f>HYPERLINK("https://transparencia.cidesi.mx/comprobantes/2021/CQ2100756 /C6FACTURA OXXO_344513993.xml")</f>
        <v>https://transparencia.cidesi.mx/comprobantes/2021/CQ2100756 /C6FACTURA OXXO_344513993.xml</v>
      </c>
      <c r="AP698" t="s">
        <v>1274</v>
      </c>
      <c r="AQ698" t="s">
        <v>1275</v>
      </c>
      <c r="AR698" t="s">
        <v>1275</v>
      </c>
      <c r="AS698" t="s">
        <v>1257</v>
      </c>
      <c r="AT698" s="1">
        <v>44452</v>
      </c>
      <c r="AU698" s="1">
        <v>44467</v>
      </c>
    </row>
    <row r="699" spans="1:47" x14ac:dyDescent="0.3">
      <c r="A699" t="s">
        <v>47</v>
      </c>
      <c r="B699" t="s">
        <v>224</v>
      </c>
      <c r="C699" t="s">
        <v>225</v>
      </c>
      <c r="D699">
        <v>696</v>
      </c>
      <c r="E699" t="s">
        <v>1249</v>
      </c>
      <c r="F699" t="s">
        <v>1250</v>
      </c>
      <c r="G699" t="s">
        <v>1251</v>
      </c>
      <c r="H699" t="s">
        <v>1271</v>
      </c>
      <c r="I699" t="s">
        <v>54</v>
      </c>
      <c r="J699" t="s">
        <v>1272</v>
      </c>
      <c r="K699" t="s">
        <v>56</v>
      </c>
      <c r="L699">
        <v>0</v>
      </c>
      <c r="M699" t="s">
        <v>73</v>
      </c>
      <c r="N699">
        <v>0</v>
      </c>
      <c r="O699" t="s">
        <v>58</v>
      </c>
      <c r="P699" t="s">
        <v>59</v>
      </c>
      <c r="Q699" t="s">
        <v>1042</v>
      </c>
      <c r="R699" t="s">
        <v>1272</v>
      </c>
      <c r="S699" s="1">
        <v>44441</v>
      </c>
      <c r="T699" s="1">
        <v>44445</v>
      </c>
      <c r="U699">
        <v>37501</v>
      </c>
      <c r="V699" t="s">
        <v>61</v>
      </c>
      <c r="W699" t="s">
        <v>1273</v>
      </c>
      <c r="X699" s="1">
        <v>44447</v>
      </c>
      <c r="Y699" t="s">
        <v>63</v>
      </c>
      <c r="Z699">
        <v>74.91</v>
      </c>
      <c r="AA699">
        <v>16</v>
      </c>
      <c r="AB699">
        <v>7.59</v>
      </c>
      <c r="AC699">
        <v>0</v>
      </c>
      <c r="AD699">
        <v>82.5</v>
      </c>
      <c r="AE699">
        <v>3955.68</v>
      </c>
      <c r="AF699">
        <v>4909</v>
      </c>
      <c r="AG699" t="s">
        <v>1255</v>
      </c>
      <c r="AH699" t="s">
        <v>65</v>
      </c>
      <c r="AI699" t="s">
        <v>65</v>
      </c>
      <c r="AJ699" t="s">
        <v>66</v>
      </c>
      <c r="AK699" t="s">
        <v>66</v>
      </c>
      <c r="AL699" t="s">
        <v>66</v>
      </c>
      <c r="AM699" s="2" t="str">
        <f>HYPERLINK("https://transparencia.cidesi.mx/comprobantes/2021/CQ2100756 /C7FACTURA OXXO_344513751.pdf")</f>
        <v>https://transparencia.cidesi.mx/comprobantes/2021/CQ2100756 /C7FACTURA OXXO_344513751.pdf</v>
      </c>
      <c r="AN699" t="str">
        <f>HYPERLINK("https://transparencia.cidesi.mx/comprobantes/2021/CQ2100756 /C7FACTURA OXXO_344513751.pdf")</f>
        <v>https://transparencia.cidesi.mx/comprobantes/2021/CQ2100756 /C7FACTURA OXXO_344513751.pdf</v>
      </c>
      <c r="AO699" t="str">
        <f>HYPERLINK("https://transparencia.cidesi.mx/comprobantes/2021/CQ2100756 /C7FACTURA OXXO_344513751.xml")</f>
        <v>https://transparencia.cidesi.mx/comprobantes/2021/CQ2100756 /C7FACTURA OXXO_344513751.xml</v>
      </c>
      <c r="AP699" t="s">
        <v>1274</v>
      </c>
      <c r="AQ699" t="s">
        <v>1275</v>
      </c>
      <c r="AR699" t="s">
        <v>1275</v>
      </c>
      <c r="AS699" t="s">
        <v>1257</v>
      </c>
      <c r="AT699" s="1">
        <v>44452</v>
      </c>
      <c r="AU699" s="1">
        <v>44467</v>
      </c>
    </row>
    <row r="700" spans="1:47" x14ac:dyDescent="0.3">
      <c r="A700" t="s">
        <v>47</v>
      </c>
      <c r="B700" t="s">
        <v>224</v>
      </c>
      <c r="C700" t="s">
        <v>225</v>
      </c>
      <c r="D700">
        <v>696</v>
      </c>
      <c r="E700" t="s">
        <v>1249</v>
      </c>
      <c r="F700" t="s">
        <v>1250</v>
      </c>
      <c r="G700" t="s">
        <v>1251</v>
      </c>
      <c r="H700" t="s">
        <v>1276</v>
      </c>
      <c r="I700" t="s">
        <v>54</v>
      </c>
      <c r="J700" t="s">
        <v>1277</v>
      </c>
      <c r="K700" t="s">
        <v>56</v>
      </c>
      <c r="L700">
        <v>0</v>
      </c>
      <c r="M700" t="s">
        <v>73</v>
      </c>
      <c r="N700">
        <v>0</v>
      </c>
      <c r="O700" t="s">
        <v>58</v>
      </c>
      <c r="P700" t="s">
        <v>59</v>
      </c>
      <c r="Q700" t="s">
        <v>1049</v>
      </c>
      <c r="R700" t="s">
        <v>1277</v>
      </c>
      <c r="S700" s="1">
        <v>44447</v>
      </c>
      <c r="T700" s="1">
        <v>44453</v>
      </c>
      <c r="U700">
        <v>37501</v>
      </c>
      <c r="V700" t="s">
        <v>61</v>
      </c>
      <c r="W700" t="s">
        <v>1278</v>
      </c>
      <c r="X700" s="1">
        <v>44454</v>
      </c>
      <c r="Y700" t="s">
        <v>63</v>
      </c>
      <c r="Z700">
        <v>519.83000000000004</v>
      </c>
      <c r="AA700">
        <v>16</v>
      </c>
      <c r="AB700">
        <v>83.17</v>
      </c>
      <c r="AC700">
        <v>0</v>
      </c>
      <c r="AD700">
        <v>603</v>
      </c>
      <c r="AE700">
        <v>5501.95</v>
      </c>
      <c r="AF700">
        <v>7988</v>
      </c>
      <c r="AG700" t="s">
        <v>1255</v>
      </c>
      <c r="AH700" t="s">
        <v>65</v>
      </c>
      <c r="AI700" t="s">
        <v>65</v>
      </c>
      <c r="AJ700" t="s">
        <v>66</v>
      </c>
      <c r="AK700" t="s">
        <v>66</v>
      </c>
      <c r="AL700" t="s">
        <v>66</v>
      </c>
      <c r="AM700" s="2" t="str">
        <f>HYPERLINK("https://transparencia.cidesi.mx/comprobantes/2021/CQ2100818 /C1RORR791119M94_Factura__38220_D12878BA-0826-48CF-8D73-F38504E2066E.pdf")</f>
        <v>https://transparencia.cidesi.mx/comprobantes/2021/CQ2100818 /C1RORR791119M94_Factura__38220_D12878BA-0826-48CF-8D73-F38504E2066E.pdf</v>
      </c>
      <c r="AN700" t="str">
        <f>HYPERLINK("https://transparencia.cidesi.mx/comprobantes/2021/CQ2100818 /C1RORR791119M94_Factura__38220_D12878BA-0826-48CF-8D73-F38504E2066E.pdf")</f>
        <v>https://transparencia.cidesi.mx/comprobantes/2021/CQ2100818 /C1RORR791119M94_Factura__38220_D12878BA-0826-48CF-8D73-F38504E2066E.pdf</v>
      </c>
      <c r="AO700" t="str">
        <f>HYPERLINK("https://transparencia.cidesi.mx/comprobantes/2021/CQ2100818 /C1RORR791119M94_Factura__38220_D12878BA-0826-48CF-8D73-F38504E2066E.xml")</f>
        <v>https://transparencia.cidesi.mx/comprobantes/2021/CQ2100818 /C1RORR791119M94_Factura__38220_D12878BA-0826-48CF-8D73-F38504E2066E.xml</v>
      </c>
      <c r="AP700" t="s">
        <v>1279</v>
      </c>
      <c r="AQ700" t="s">
        <v>1280</v>
      </c>
      <c r="AR700" t="s">
        <v>1279</v>
      </c>
      <c r="AS700" t="s">
        <v>1281</v>
      </c>
      <c r="AT700" s="1">
        <v>44462</v>
      </c>
      <c r="AU700" s="1">
        <v>44473</v>
      </c>
    </row>
    <row r="701" spans="1:47" x14ac:dyDescent="0.3">
      <c r="A701" t="s">
        <v>47</v>
      </c>
      <c r="B701" t="s">
        <v>224</v>
      </c>
      <c r="C701" t="s">
        <v>225</v>
      </c>
      <c r="D701">
        <v>696</v>
      </c>
      <c r="E701" t="s">
        <v>1249</v>
      </c>
      <c r="F701" t="s">
        <v>1250</v>
      </c>
      <c r="G701" t="s">
        <v>1251</v>
      </c>
      <c r="H701" t="s">
        <v>1276</v>
      </c>
      <c r="I701" t="s">
        <v>54</v>
      </c>
      <c r="J701" t="s">
        <v>1277</v>
      </c>
      <c r="K701" t="s">
        <v>56</v>
      </c>
      <c r="L701">
        <v>0</v>
      </c>
      <c r="M701" t="s">
        <v>73</v>
      </c>
      <c r="N701">
        <v>0</v>
      </c>
      <c r="O701" t="s">
        <v>58</v>
      </c>
      <c r="P701" t="s">
        <v>59</v>
      </c>
      <c r="Q701" t="s">
        <v>1049</v>
      </c>
      <c r="R701" t="s">
        <v>1277</v>
      </c>
      <c r="S701" s="1">
        <v>44447</v>
      </c>
      <c r="T701" s="1">
        <v>44453</v>
      </c>
      <c r="U701">
        <v>37501</v>
      </c>
      <c r="V701" t="s">
        <v>104</v>
      </c>
      <c r="W701" t="s">
        <v>1278</v>
      </c>
      <c r="X701" s="1">
        <v>44454</v>
      </c>
      <c r="Y701" t="s">
        <v>63</v>
      </c>
      <c r="Z701">
        <v>562.6</v>
      </c>
      <c r="AA701">
        <v>16</v>
      </c>
      <c r="AB701">
        <v>87.4</v>
      </c>
      <c r="AC701">
        <v>0</v>
      </c>
      <c r="AD701">
        <v>650</v>
      </c>
      <c r="AE701">
        <v>5501.95</v>
      </c>
      <c r="AF701">
        <v>7988</v>
      </c>
      <c r="AG701" t="s">
        <v>1269</v>
      </c>
      <c r="AH701" t="s">
        <v>65</v>
      </c>
      <c r="AI701" t="s">
        <v>65</v>
      </c>
      <c r="AJ701" t="s">
        <v>66</v>
      </c>
      <c r="AK701" t="s">
        <v>66</v>
      </c>
      <c r="AL701" t="s">
        <v>66</v>
      </c>
      <c r="AM701" s="2" t="str">
        <f>HYPERLINK("https://transparencia.cidesi.mx/comprobantes/2021/CQ2100818 /C2AAPA610627RC0FF44443.pdf")</f>
        <v>https://transparencia.cidesi.mx/comprobantes/2021/CQ2100818 /C2AAPA610627RC0FF44443.pdf</v>
      </c>
      <c r="AN701" t="str">
        <f>HYPERLINK("https://transparencia.cidesi.mx/comprobantes/2021/CQ2100818 /C2AAPA610627RC0FF44443.pdf")</f>
        <v>https://transparencia.cidesi.mx/comprobantes/2021/CQ2100818 /C2AAPA610627RC0FF44443.pdf</v>
      </c>
      <c r="AO701" t="str">
        <f>HYPERLINK("https://transparencia.cidesi.mx/comprobantes/2021/CQ2100818 /C2AAPA610627RC0FF44443.xml")</f>
        <v>https://transparencia.cidesi.mx/comprobantes/2021/CQ2100818 /C2AAPA610627RC0FF44443.xml</v>
      </c>
      <c r="AP701" t="s">
        <v>1279</v>
      </c>
      <c r="AQ701" t="s">
        <v>1280</v>
      </c>
      <c r="AR701" t="s">
        <v>1279</v>
      </c>
      <c r="AS701" t="s">
        <v>1281</v>
      </c>
      <c r="AT701" s="1">
        <v>44462</v>
      </c>
      <c r="AU701" s="1">
        <v>44473</v>
      </c>
    </row>
    <row r="702" spans="1:47" x14ac:dyDescent="0.3">
      <c r="A702" t="s">
        <v>47</v>
      </c>
      <c r="B702" t="s">
        <v>224</v>
      </c>
      <c r="C702" t="s">
        <v>225</v>
      </c>
      <c r="D702">
        <v>696</v>
      </c>
      <c r="E702" t="s">
        <v>1249</v>
      </c>
      <c r="F702" t="s">
        <v>1250</v>
      </c>
      <c r="G702" t="s">
        <v>1251</v>
      </c>
      <c r="H702" t="s">
        <v>1276</v>
      </c>
      <c r="I702" t="s">
        <v>54</v>
      </c>
      <c r="J702" t="s">
        <v>1277</v>
      </c>
      <c r="K702" t="s">
        <v>56</v>
      </c>
      <c r="L702">
        <v>0</v>
      </c>
      <c r="M702" t="s">
        <v>73</v>
      </c>
      <c r="N702">
        <v>0</v>
      </c>
      <c r="O702" t="s">
        <v>58</v>
      </c>
      <c r="P702" t="s">
        <v>59</v>
      </c>
      <c r="Q702" t="s">
        <v>1049</v>
      </c>
      <c r="R702" t="s">
        <v>1277</v>
      </c>
      <c r="S702" s="1">
        <v>44447</v>
      </c>
      <c r="T702" s="1">
        <v>44453</v>
      </c>
      <c r="U702">
        <v>37501</v>
      </c>
      <c r="V702" t="s">
        <v>104</v>
      </c>
      <c r="W702" t="s">
        <v>1278</v>
      </c>
      <c r="X702" s="1">
        <v>44454</v>
      </c>
      <c r="Y702" t="s">
        <v>63</v>
      </c>
      <c r="Z702">
        <v>1940.55</v>
      </c>
      <c r="AA702">
        <v>16</v>
      </c>
      <c r="AB702">
        <v>301.45</v>
      </c>
      <c r="AC702">
        <v>0</v>
      </c>
      <c r="AD702">
        <v>2242</v>
      </c>
      <c r="AE702">
        <v>5501.95</v>
      </c>
      <c r="AF702">
        <v>7988</v>
      </c>
      <c r="AG702" t="s">
        <v>1269</v>
      </c>
      <c r="AH702" t="s">
        <v>65</v>
      </c>
      <c r="AI702" t="s">
        <v>65</v>
      </c>
      <c r="AJ702" t="s">
        <v>66</v>
      </c>
      <c r="AK702" t="s">
        <v>66</v>
      </c>
      <c r="AL702" t="s">
        <v>66</v>
      </c>
      <c r="AM702" s="2" t="str">
        <f>HYPERLINK("https://transparencia.cidesi.mx/comprobantes/2021/CQ2100818 /C3FM3257.pdf")</f>
        <v>https://transparencia.cidesi.mx/comprobantes/2021/CQ2100818 /C3FM3257.pdf</v>
      </c>
      <c r="AN702" t="str">
        <f>HYPERLINK("https://transparencia.cidesi.mx/comprobantes/2021/CQ2100818 /C3FM3257.pdf")</f>
        <v>https://transparencia.cidesi.mx/comprobantes/2021/CQ2100818 /C3FM3257.pdf</v>
      </c>
      <c r="AO702" t="str">
        <f>HYPERLINK("https://transparencia.cidesi.mx/comprobantes/2021/CQ2100818 /C3FM3257.xml")</f>
        <v>https://transparencia.cidesi.mx/comprobantes/2021/CQ2100818 /C3FM3257.xml</v>
      </c>
      <c r="AP702" t="s">
        <v>1279</v>
      </c>
      <c r="AQ702" t="s">
        <v>1280</v>
      </c>
      <c r="AR702" t="s">
        <v>1279</v>
      </c>
      <c r="AS702" t="s">
        <v>1281</v>
      </c>
      <c r="AT702" s="1">
        <v>44462</v>
      </c>
      <c r="AU702" s="1">
        <v>44473</v>
      </c>
    </row>
    <row r="703" spans="1:47" x14ac:dyDescent="0.3">
      <c r="A703" t="s">
        <v>47</v>
      </c>
      <c r="B703" t="s">
        <v>224</v>
      </c>
      <c r="C703" t="s">
        <v>225</v>
      </c>
      <c r="D703">
        <v>696</v>
      </c>
      <c r="E703" t="s">
        <v>1249</v>
      </c>
      <c r="F703" t="s">
        <v>1250</v>
      </c>
      <c r="G703" t="s">
        <v>1251</v>
      </c>
      <c r="H703" t="s">
        <v>1276</v>
      </c>
      <c r="I703" t="s">
        <v>54</v>
      </c>
      <c r="J703" t="s">
        <v>1277</v>
      </c>
      <c r="K703" t="s">
        <v>56</v>
      </c>
      <c r="L703">
        <v>0</v>
      </c>
      <c r="M703" t="s">
        <v>73</v>
      </c>
      <c r="N703">
        <v>0</v>
      </c>
      <c r="O703" t="s">
        <v>58</v>
      </c>
      <c r="P703" t="s">
        <v>59</v>
      </c>
      <c r="Q703" t="s">
        <v>1049</v>
      </c>
      <c r="R703" t="s">
        <v>1277</v>
      </c>
      <c r="S703" s="1">
        <v>44447</v>
      </c>
      <c r="T703" s="1">
        <v>44453</v>
      </c>
      <c r="U703">
        <v>37501</v>
      </c>
      <c r="V703" t="s">
        <v>61</v>
      </c>
      <c r="W703" t="s">
        <v>1278</v>
      </c>
      <c r="X703" s="1">
        <v>44454</v>
      </c>
      <c r="Y703" t="s">
        <v>63</v>
      </c>
      <c r="Z703">
        <v>103.45</v>
      </c>
      <c r="AA703">
        <v>16</v>
      </c>
      <c r="AB703">
        <v>16.55</v>
      </c>
      <c r="AC703">
        <v>0</v>
      </c>
      <c r="AD703">
        <v>120</v>
      </c>
      <c r="AE703">
        <v>5501.95</v>
      </c>
      <c r="AF703">
        <v>7988</v>
      </c>
      <c r="AG703" t="s">
        <v>1255</v>
      </c>
      <c r="AH703" t="s">
        <v>66</v>
      </c>
      <c r="AI703" t="s">
        <v>65</v>
      </c>
      <c r="AJ703" t="s">
        <v>66</v>
      </c>
      <c r="AK703" t="s">
        <v>66</v>
      </c>
      <c r="AL703" t="s">
        <v>66</v>
      </c>
      <c r="AM703" s="2" t="str">
        <f>HYPERLINK("https://transparencia.cidesi.mx/comprobantes/2021/CQ2100818 /C4cC0000003353.pdf")</f>
        <v>https://transparencia.cidesi.mx/comprobantes/2021/CQ2100818 /C4cC0000003353.pdf</v>
      </c>
      <c r="AN703" t="str">
        <f>HYPERLINK("https://transparencia.cidesi.mx/comprobantes/2021/CQ2100818 /C4cC0000003353.pdf")</f>
        <v>https://transparencia.cidesi.mx/comprobantes/2021/CQ2100818 /C4cC0000003353.pdf</v>
      </c>
      <c r="AO703" t="str">
        <f>HYPERLINK("https://transparencia.cidesi.mx/comprobantes/2021/CQ2100818 /C4cC0000003353.xml")</f>
        <v>https://transparencia.cidesi.mx/comprobantes/2021/CQ2100818 /C4cC0000003353.xml</v>
      </c>
      <c r="AP703" t="s">
        <v>1279</v>
      </c>
      <c r="AQ703" t="s">
        <v>1280</v>
      </c>
      <c r="AR703" t="s">
        <v>1279</v>
      </c>
      <c r="AS703" t="s">
        <v>1281</v>
      </c>
      <c r="AT703" s="1">
        <v>44462</v>
      </c>
      <c r="AU703" s="1">
        <v>44473</v>
      </c>
    </row>
    <row r="704" spans="1:47" x14ac:dyDescent="0.3">
      <c r="A704" t="s">
        <v>47</v>
      </c>
      <c r="B704" t="s">
        <v>224</v>
      </c>
      <c r="C704" t="s">
        <v>225</v>
      </c>
      <c r="D704">
        <v>696</v>
      </c>
      <c r="E704" t="s">
        <v>1249</v>
      </c>
      <c r="F704" t="s">
        <v>1250</v>
      </c>
      <c r="G704" t="s">
        <v>1251</v>
      </c>
      <c r="H704" t="s">
        <v>1276</v>
      </c>
      <c r="I704" t="s">
        <v>54</v>
      </c>
      <c r="J704" t="s">
        <v>1277</v>
      </c>
      <c r="K704" t="s">
        <v>56</v>
      </c>
      <c r="L704">
        <v>0</v>
      </c>
      <c r="M704" t="s">
        <v>73</v>
      </c>
      <c r="N704">
        <v>0</v>
      </c>
      <c r="O704" t="s">
        <v>58</v>
      </c>
      <c r="P704" t="s">
        <v>59</v>
      </c>
      <c r="Q704" t="s">
        <v>1049</v>
      </c>
      <c r="R704" t="s">
        <v>1277</v>
      </c>
      <c r="S704" s="1">
        <v>44447</v>
      </c>
      <c r="T704" s="1">
        <v>44453</v>
      </c>
      <c r="U704">
        <v>37501</v>
      </c>
      <c r="V704" t="s">
        <v>61</v>
      </c>
      <c r="W704" t="s">
        <v>1278</v>
      </c>
      <c r="X704" s="1">
        <v>44454</v>
      </c>
      <c r="Y704" t="s">
        <v>63</v>
      </c>
      <c r="Z704">
        <v>216.38</v>
      </c>
      <c r="AA704">
        <v>16</v>
      </c>
      <c r="AB704">
        <v>34.619999999999997</v>
      </c>
      <c r="AC704">
        <v>25.1</v>
      </c>
      <c r="AD704">
        <v>276.10000000000002</v>
      </c>
      <c r="AE704">
        <v>5501.95</v>
      </c>
      <c r="AF704">
        <v>7988</v>
      </c>
      <c r="AG704" t="s">
        <v>1255</v>
      </c>
      <c r="AH704" t="s">
        <v>65</v>
      </c>
      <c r="AI704" t="s">
        <v>65</v>
      </c>
      <c r="AJ704" t="s">
        <v>66</v>
      </c>
      <c r="AK704" t="s">
        <v>66</v>
      </c>
      <c r="AL704" t="s">
        <v>66</v>
      </c>
      <c r="AM704" s="2" t="str">
        <f>HYPERLINK("https://transparencia.cidesi.mx/comprobantes/2021/CQ2100818 /C6SABE6204023D7_Factura__2055_76B3AD5B-1C8A-44D5-B523-1BB375B8A141.pdf")</f>
        <v>https://transparencia.cidesi.mx/comprobantes/2021/CQ2100818 /C6SABE6204023D7_Factura__2055_76B3AD5B-1C8A-44D5-B523-1BB375B8A141.pdf</v>
      </c>
      <c r="AN704" t="str">
        <f>HYPERLINK("https://transparencia.cidesi.mx/comprobantes/2021/CQ2100818 /C6SABE6204023D7_Factura__2055_76B3AD5B-1C8A-44D5-B523-1BB375B8A141.pdf")</f>
        <v>https://transparencia.cidesi.mx/comprobantes/2021/CQ2100818 /C6SABE6204023D7_Factura__2055_76B3AD5B-1C8A-44D5-B523-1BB375B8A141.pdf</v>
      </c>
      <c r="AO704" t="str">
        <f>HYPERLINK("https://transparencia.cidesi.mx/comprobantes/2021/CQ2100818 /C6SABE6204023D7_Factura__2055_76B3AD5B-1C8A-44D5-B523-1BB375B8A141.xml")</f>
        <v>https://transparencia.cidesi.mx/comprobantes/2021/CQ2100818 /C6SABE6204023D7_Factura__2055_76B3AD5B-1C8A-44D5-B523-1BB375B8A141.xml</v>
      </c>
      <c r="AP704" t="s">
        <v>1279</v>
      </c>
      <c r="AQ704" t="s">
        <v>1280</v>
      </c>
      <c r="AR704" t="s">
        <v>1279</v>
      </c>
      <c r="AS704" t="s">
        <v>1281</v>
      </c>
      <c r="AT704" s="1">
        <v>44462</v>
      </c>
      <c r="AU704" s="1">
        <v>44473</v>
      </c>
    </row>
    <row r="705" spans="1:47" x14ac:dyDescent="0.3">
      <c r="A705" t="s">
        <v>47</v>
      </c>
      <c r="B705" t="s">
        <v>224</v>
      </c>
      <c r="C705" t="s">
        <v>225</v>
      </c>
      <c r="D705">
        <v>696</v>
      </c>
      <c r="E705" t="s">
        <v>1249</v>
      </c>
      <c r="F705" t="s">
        <v>1250</v>
      </c>
      <c r="G705" t="s">
        <v>1251</v>
      </c>
      <c r="H705" t="s">
        <v>1276</v>
      </c>
      <c r="I705" t="s">
        <v>54</v>
      </c>
      <c r="J705" t="s">
        <v>1277</v>
      </c>
      <c r="K705" t="s">
        <v>56</v>
      </c>
      <c r="L705">
        <v>0</v>
      </c>
      <c r="M705" t="s">
        <v>73</v>
      </c>
      <c r="N705">
        <v>0</v>
      </c>
      <c r="O705" t="s">
        <v>58</v>
      </c>
      <c r="P705" t="s">
        <v>59</v>
      </c>
      <c r="Q705" t="s">
        <v>1049</v>
      </c>
      <c r="R705" t="s">
        <v>1277</v>
      </c>
      <c r="S705" s="1">
        <v>44447</v>
      </c>
      <c r="T705" s="1">
        <v>44453</v>
      </c>
      <c r="U705">
        <v>37501</v>
      </c>
      <c r="V705" t="s">
        <v>61</v>
      </c>
      <c r="W705" t="s">
        <v>1278</v>
      </c>
      <c r="X705" s="1">
        <v>44454</v>
      </c>
      <c r="Y705" t="s">
        <v>63</v>
      </c>
      <c r="Z705">
        <v>128.44999999999999</v>
      </c>
      <c r="AA705">
        <v>16</v>
      </c>
      <c r="AB705">
        <v>20.55</v>
      </c>
      <c r="AC705">
        <v>14.9</v>
      </c>
      <c r="AD705">
        <v>163.9</v>
      </c>
      <c r="AE705">
        <v>5501.95</v>
      </c>
      <c r="AF705">
        <v>7988</v>
      </c>
      <c r="AG705" t="s">
        <v>1255</v>
      </c>
      <c r="AH705" t="s">
        <v>65</v>
      </c>
      <c r="AI705" t="s">
        <v>65</v>
      </c>
      <c r="AJ705" t="s">
        <v>66</v>
      </c>
      <c r="AK705" t="s">
        <v>66</v>
      </c>
      <c r="AL705" t="s">
        <v>66</v>
      </c>
      <c r="AM705" s="2" t="str">
        <f>HYPERLINK("https://transparencia.cidesi.mx/comprobantes/2021/CQ2100818 /C7CID840309UG7_TIWEBDF6570035.pdf")</f>
        <v>https://transparencia.cidesi.mx/comprobantes/2021/CQ2100818 /C7CID840309UG7_TIWEBDF6570035.pdf</v>
      </c>
      <c r="AN705" t="str">
        <f>HYPERLINK("https://transparencia.cidesi.mx/comprobantes/2021/CQ2100818 /C7CID840309UG7_TIWEBDF6570035.pdf")</f>
        <v>https://transparencia.cidesi.mx/comprobantes/2021/CQ2100818 /C7CID840309UG7_TIWEBDF6570035.pdf</v>
      </c>
      <c r="AO705" t="str">
        <f>HYPERLINK("https://transparencia.cidesi.mx/comprobantes/2021/CQ2100818 /C7CID840309UG7_TIWEBDF6570035.xml")</f>
        <v>https://transparencia.cidesi.mx/comprobantes/2021/CQ2100818 /C7CID840309UG7_TIWEBDF6570035.xml</v>
      </c>
      <c r="AP705" t="s">
        <v>1279</v>
      </c>
      <c r="AQ705" t="s">
        <v>1280</v>
      </c>
      <c r="AR705" t="s">
        <v>1279</v>
      </c>
      <c r="AS705" t="s">
        <v>1281</v>
      </c>
      <c r="AT705" s="1">
        <v>44462</v>
      </c>
      <c r="AU705" s="1">
        <v>44473</v>
      </c>
    </row>
    <row r="706" spans="1:47" x14ac:dyDescent="0.3">
      <c r="A706" t="s">
        <v>47</v>
      </c>
      <c r="B706" t="s">
        <v>224</v>
      </c>
      <c r="C706" t="s">
        <v>225</v>
      </c>
      <c r="D706">
        <v>696</v>
      </c>
      <c r="E706" t="s">
        <v>1249</v>
      </c>
      <c r="F706" t="s">
        <v>1250</v>
      </c>
      <c r="G706" t="s">
        <v>1251</v>
      </c>
      <c r="H706" t="s">
        <v>1276</v>
      </c>
      <c r="I706" t="s">
        <v>54</v>
      </c>
      <c r="J706" t="s">
        <v>1277</v>
      </c>
      <c r="K706" t="s">
        <v>56</v>
      </c>
      <c r="L706">
        <v>0</v>
      </c>
      <c r="M706" t="s">
        <v>73</v>
      </c>
      <c r="N706">
        <v>0</v>
      </c>
      <c r="O706" t="s">
        <v>58</v>
      </c>
      <c r="P706" t="s">
        <v>59</v>
      </c>
      <c r="Q706" t="s">
        <v>1049</v>
      </c>
      <c r="R706" t="s">
        <v>1277</v>
      </c>
      <c r="S706" s="1">
        <v>44447</v>
      </c>
      <c r="T706" s="1">
        <v>44453</v>
      </c>
      <c r="U706">
        <v>37501</v>
      </c>
      <c r="V706" t="s">
        <v>61</v>
      </c>
      <c r="W706" t="s">
        <v>1278</v>
      </c>
      <c r="X706" s="1">
        <v>44454</v>
      </c>
      <c r="Y706" t="s">
        <v>63</v>
      </c>
      <c r="Z706">
        <v>137.07</v>
      </c>
      <c r="AA706">
        <v>16</v>
      </c>
      <c r="AB706">
        <v>21.93</v>
      </c>
      <c r="AC706">
        <v>15.9</v>
      </c>
      <c r="AD706">
        <v>174.9</v>
      </c>
      <c r="AE706">
        <v>5501.95</v>
      </c>
      <c r="AF706">
        <v>7988</v>
      </c>
      <c r="AG706" t="s">
        <v>1255</v>
      </c>
      <c r="AH706" t="s">
        <v>65</v>
      </c>
      <c r="AI706" t="s">
        <v>65</v>
      </c>
      <c r="AJ706" t="s">
        <v>66</v>
      </c>
      <c r="AK706" t="s">
        <v>66</v>
      </c>
      <c r="AL706" t="s">
        <v>66</v>
      </c>
      <c r="AM706" s="2" t="str">
        <f>HYPERLINK("https://transparencia.cidesi.mx/comprobantes/2021/CQ2100818 /C8CID840309UG7_TIWEBDF6570045.pdf")</f>
        <v>https://transparencia.cidesi.mx/comprobantes/2021/CQ2100818 /C8CID840309UG7_TIWEBDF6570045.pdf</v>
      </c>
      <c r="AN706" t="str">
        <f>HYPERLINK("https://transparencia.cidesi.mx/comprobantes/2021/CQ2100818 /C8CID840309UG7_TIWEBDF6570045.pdf")</f>
        <v>https://transparencia.cidesi.mx/comprobantes/2021/CQ2100818 /C8CID840309UG7_TIWEBDF6570045.pdf</v>
      </c>
      <c r="AO706" t="str">
        <f>HYPERLINK("https://transparencia.cidesi.mx/comprobantes/2021/CQ2100818 /C8CID840309UG7_TIWEBDF6570045.xml")</f>
        <v>https://transparencia.cidesi.mx/comprobantes/2021/CQ2100818 /C8CID840309UG7_TIWEBDF6570045.xml</v>
      </c>
      <c r="AP706" t="s">
        <v>1279</v>
      </c>
      <c r="AQ706" t="s">
        <v>1280</v>
      </c>
      <c r="AR706" t="s">
        <v>1279</v>
      </c>
      <c r="AS706" t="s">
        <v>1281</v>
      </c>
      <c r="AT706" s="1">
        <v>44462</v>
      </c>
      <c r="AU706" s="1">
        <v>44473</v>
      </c>
    </row>
    <row r="707" spans="1:47" x14ac:dyDescent="0.3">
      <c r="A707" t="s">
        <v>47</v>
      </c>
      <c r="B707" t="s">
        <v>224</v>
      </c>
      <c r="C707" t="s">
        <v>225</v>
      </c>
      <c r="D707">
        <v>696</v>
      </c>
      <c r="E707" t="s">
        <v>1249</v>
      </c>
      <c r="F707" t="s">
        <v>1250</v>
      </c>
      <c r="G707" t="s">
        <v>1251</v>
      </c>
      <c r="H707" t="s">
        <v>1276</v>
      </c>
      <c r="I707" t="s">
        <v>54</v>
      </c>
      <c r="J707" t="s">
        <v>1277</v>
      </c>
      <c r="K707" t="s">
        <v>56</v>
      </c>
      <c r="L707">
        <v>0</v>
      </c>
      <c r="M707" t="s">
        <v>73</v>
      </c>
      <c r="N707">
        <v>0</v>
      </c>
      <c r="O707" t="s">
        <v>58</v>
      </c>
      <c r="P707" t="s">
        <v>59</v>
      </c>
      <c r="Q707" t="s">
        <v>1049</v>
      </c>
      <c r="R707" t="s">
        <v>1277</v>
      </c>
      <c r="S707" s="1">
        <v>44447</v>
      </c>
      <c r="T707" s="1">
        <v>44453</v>
      </c>
      <c r="U707">
        <v>37501</v>
      </c>
      <c r="V707" t="s">
        <v>61</v>
      </c>
      <c r="W707" t="s">
        <v>1278</v>
      </c>
      <c r="X707" s="1">
        <v>44454</v>
      </c>
      <c r="Y707" t="s">
        <v>63</v>
      </c>
      <c r="Z707">
        <v>428.88</v>
      </c>
      <c r="AA707">
        <v>16</v>
      </c>
      <c r="AB707">
        <v>68.62</v>
      </c>
      <c r="AC707">
        <v>49.75</v>
      </c>
      <c r="AD707">
        <v>547.25</v>
      </c>
      <c r="AE707">
        <v>5501.95</v>
      </c>
      <c r="AF707">
        <v>7988</v>
      </c>
      <c r="AG707" t="s">
        <v>1255</v>
      </c>
      <c r="AH707" t="s">
        <v>65</v>
      </c>
      <c r="AI707" t="s">
        <v>65</v>
      </c>
      <c r="AJ707" t="s">
        <v>66</v>
      </c>
      <c r="AK707" t="s">
        <v>66</v>
      </c>
      <c r="AL707" t="s">
        <v>66</v>
      </c>
      <c r="AM707" s="2" t="str">
        <f>HYPERLINK("https://transparencia.cidesi.mx/comprobantes/2021/CQ2100818 /C9FACTURAC22228.pdf")</f>
        <v>https://transparencia.cidesi.mx/comprobantes/2021/CQ2100818 /C9FACTURAC22228.pdf</v>
      </c>
      <c r="AN707" t="str">
        <f>HYPERLINK("https://transparencia.cidesi.mx/comprobantes/2021/CQ2100818 /C9FACTURAC22228.pdf")</f>
        <v>https://transparencia.cidesi.mx/comprobantes/2021/CQ2100818 /C9FACTURAC22228.pdf</v>
      </c>
      <c r="AO707" t="str">
        <f>HYPERLINK("https://transparencia.cidesi.mx/comprobantes/2021/CQ2100818 /C9FACTURAC22228.xml")</f>
        <v>https://transparencia.cidesi.mx/comprobantes/2021/CQ2100818 /C9FACTURAC22228.xml</v>
      </c>
      <c r="AP707" t="s">
        <v>1279</v>
      </c>
      <c r="AQ707" t="s">
        <v>1280</v>
      </c>
      <c r="AR707" t="s">
        <v>1279</v>
      </c>
      <c r="AS707" t="s">
        <v>1281</v>
      </c>
      <c r="AT707" s="1">
        <v>44462</v>
      </c>
      <c r="AU707" s="1">
        <v>44473</v>
      </c>
    </row>
    <row r="708" spans="1:47" x14ac:dyDescent="0.3">
      <c r="A708" t="s">
        <v>47</v>
      </c>
      <c r="B708" t="s">
        <v>224</v>
      </c>
      <c r="C708" t="s">
        <v>225</v>
      </c>
      <c r="D708">
        <v>696</v>
      </c>
      <c r="E708" t="s">
        <v>1249</v>
      </c>
      <c r="F708" t="s">
        <v>1250</v>
      </c>
      <c r="G708" t="s">
        <v>1251</v>
      </c>
      <c r="H708" t="s">
        <v>1276</v>
      </c>
      <c r="I708" t="s">
        <v>54</v>
      </c>
      <c r="J708" t="s">
        <v>1277</v>
      </c>
      <c r="K708" t="s">
        <v>56</v>
      </c>
      <c r="L708">
        <v>0</v>
      </c>
      <c r="M708" t="s">
        <v>73</v>
      </c>
      <c r="N708">
        <v>0</v>
      </c>
      <c r="O708" t="s">
        <v>58</v>
      </c>
      <c r="P708" t="s">
        <v>59</v>
      </c>
      <c r="Q708" t="s">
        <v>1049</v>
      </c>
      <c r="R708" t="s">
        <v>1277</v>
      </c>
      <c r="S708" s="1">
        <v>44447</v>
      </c>
      <c r="T708" s="1">
        <v>44453</v>
      </c>
      <c r="U708">
        <v>37501</v>
      </c>
      <c r="V708" t="s">
        <v>61</v>
      </c>
      <c r="W708" t="s">
        <v>1278</v>
      </c>
      <c r="X708" s="1">
        <v>44454</v>
      </c>
      <c r="Y708" t="s">
        <v>63</v>
      </c>
      <c r="Z708">
        <v>304.31</v>
      </c>
      <c r="AA708">
        <v>16</v>
      </c>
      <c r="AB708">
        <v>48.69</v>
      </c>
      <c r="AC708">
        <v>0</v>
      </c>
      <c r="AD708">
        <v>353</v>
      </c>
      <c r="AE708">
        <v>5501.95</v>
      </c>
      <c r="AF708">
        <v>7988</v>
      </c>
      <c r="AG708" t="s">
        <v>1255</v>
      </c>
      <c r="AH708" t="s">
        <v>65</v>
      </c>
      <c r="AI708" t="s">
        <v>65</v>
      </c>
      <c r="AJ708" t="s">
        <v>66</v>
      </c>
      <c r="AK708" t="s">
        <v>66</v>
      </c>
      <c r="AL708" t="s">
        <v>66</v>
      </c>
      <c r="AM708" s="2" t="str">
        <f>HYPERLINK("https://transparencia.cidesi.mx/comprobantes/2021/CQ2100818 /C1094a3996f-c843-4544-ad95-49c50c70e441_MECA730929NL6.pdf")</f>
        <v>https://transparencia.cidesi.mx/comprobantes/2021/CQ2100818 /C1094a3996f-c843-4544-ad95-49c50c70e441_MECA730929NL6.pdf</v>
      </c>
      <c r="AN708" t="str">
        <f>HYPERLINK("https://transparencia.cidesi.mx/comprobantes/2021/CQ2100818 /C1094a3996f-c843-4544-ad95-49c50c70e441_MECA730929NL6.pdf")</f>
        <v>https://transparencia.cidesi.mx/comprobantes/2021/CQ2100818 /C1094a3996f-c843-4544-ad95-49c50c70e441_MECA730929NL6.pdf</v>
      </c>
      <c r="AO708" t="str">
        <f>HYPERLINK("https://transparencia.cidesi.mx/comprobantes/2021/CQ2100818 /C1094a3996f-c843-4544-ad95-49c50c70e441_MECA730929NL6.xml")</f>
        <v>https://transparencia.cidesi.mx/comprobantes/2021/CQ2100818 /C1094a3996f-c843-4544-ad95-49c50c70e441_MECA730929NL6.xml</v>
      </c>
      <c r="AP708" t="s">
        <v>1279</v>
      </c>
      <c r="AQ708" t="s">
        <v>1280</v>
      </c>
      <c r="AR708" t="s">
        <v>1279</v>
      </c>
      <c r="AS708" t="s">
        <v>1281</v>
      </c>
      <c r="AT708" s="1">
        <v>44462</v>
      </c>
      <c r="AU708" s="1">
        <v>44473</v>
      </c>
    </row>
    <row r="709" spans="1:47" x14ac:dyDescent="0.3">
      <c r="A709" t="s">
        <v>47</v>
      </c>
      <c r="B709" t="s">
        <v>224</v>
      </c>
      <c r="C709" t="s">
        <v>225</v>
      </c>
      <c r="D709">
        <v>696</v>
      </c>
      <c r="E709" t="s">
        <v>1249</v>
      </c>
      <c r="F709" t="s">
        <v>1250</v>
      </c>
      <c r="G709" t="s">
        <v>1251</v>
      </c>
      <c r="H709" t="s">
        <v>1276</v>
      </c>
      <c r="I709" t="s">
        <v>54</v>
      </c>
      <c r="J709" t="s">
        <v>1277</v>
      </c>
      <c r="K709" t="s">
        <v>56</v>
      </c>
      <c r="L709">
        <v>0</v>
      </c>
      <c r="M709" t="s">
        <v>73</v>
      </c>
      <c r="N709">
        <v>0</v>
      </c>
      <c r="O709" t="s">
        <v>58</v>
      </c>
      <c r="P709" t="s">
        <v>59</v>
      </c>
      <c r="Q709" t="s">
        <v>1049</v>
      </c>
      <c r="R709" t="s">
        <v>1277</v>
      </c>
      <c r="S709" s="1">
        <v>44447</v>
      </c>
      <c r="T709" s="1">
        <v>44453</v>
      </c>
      <c r="U709">
        <v>37501</v>
      </c>
      <c r="V709" t="s">
        <v>61</v>
      </c>
      <c r="W709" t="s">
        <v>1278</v>
      </c>
      <c r="X709" s="1">
        <v>44454</v>
      </c>
      <c r="Y709" t="s">
        <v>63</v>
      </c>
      <c r="Z709">
        <v>44.83</v>
      </c>
      <c r="AA709">
        <v>16</v>
      </c>
      <c r="AB709">
        <v>0.97</v>
      </c>
      <c r="AC709">
        <v>0</v>
      </c>
      <c r="AD709">
        <v>45.8</v>
      </c>
      <c r="AE709">
        <v>5501.95</v>
      </c>
      <c r="AF709">
        <v>7988</v>
      </c>
      <c r="AG709" t="s">
        <v>1255</v>
      </c>
      <c r="AH709" t="s">
        <v>65</v>
      </c>
      <c r="AI709" t="s">
        <v>65</v>
      </c>
      <c r="AJ709" t="s">
        <v>66</v>
      </c>
      <c r="AK709" t="s">
        <v>66</v>
      </c>
      <c r="AL709" t="s">
        <v>66</v>
      </c>
      <c r="AM709" s="2" t="str">
        <f>HYPERLINK("https://transparencia.cidesi.mx/comprobantes/2021/CQ2100818 /C11SECFD_20210915_124028.pdf")</f>
        <v>https://transparencia.cidesi.mx/comprobantes/2021/CQ2100818 /C11SECFD_20210915_124028.pdf</v>
      </c>
      <c r="AN709" t="str">
        <f>HYPERLINK("https://transparencia.cidesi.mx/comprobantes/2021/CQ2100818 /C11SECFD_20210915_124028.pdf")</f>
        <v>https://transparencia.cidesi.mx/comprobantes/2021/CQ2100818 /C11SECFD_20210915_124028.pdf</v>
      </c>
      <c r="AO709" t="str">
        <f>HYPERLINK("https://transparencia.cidesi.mx/comprobantes/2021/CQ2100818 /C11SECFD_20210915_124028.xml")</f>
        <v>https://transparencia.cidesi.mx/comprobantes/2021/CQ2100818 /C11SECFD_20210915_124028.xml</v>
      </c>
      <c r="AP709" t="s">
        <v>1279</v>
      </c>
      <c r="AQ709" t="s">
        <v>1280</v>
      </c>
      <c r="AR709" t="s">
        <v>1279</v>
      </c>
      <c r="AS709" t="s">
        <v>1281</v>
      </c>
      <c r="AT709" s="1">
        <v>44462</v>
      </c>
      <c r="AU709" s="1">
        <v>44473</v>
      </c>
    </row>
    <row r="710" spans="1:47" x14ac:dyDescent="0.3">
      <c r="A710" t="s">
        <v>47</v>
      </c>
      <c r="B710" t="s">
        <v>224</v>
      </c>
      <c r="C710" t="s">
        <v>225</v>
      </c>
      <c r="D710">
        <v>696</v>
      </c>
      <c r="E710" t="s">
        <v>1249</v>
      </c>
      <c r="F710" t="s">
        <v>1250</v>
      </c>
      <c r="G710" t="s">
        <v>1251</v>
      </c>
      <c r="H710" t="s">
        <v>1276</v>
      </c>
      <c r="I710" t="s">
        <v>54</v>
      </c>
      <c r="J710" t="s">
        <v>1277</v>
      </c>
      <c r="K710" t="s">
        <v>56</v>
      </c>
      <c r="L710">
        <v>0</v>
      </c>
      <c r="M710" t="s">
        <v>73</v>
      </c>
      <c r="N710">
        <v>0</v>
      </c>
      <c r="O710" t="s">
        <v>58</v>
      </c>
      <c r="P710" t="s">
        <v>59</v>
      </c>
      <c r="Q710" t="s">
        <v>1049</v>
      </c>
      <c r="R710" t="s">
        <v>1277</v>
      </c>
      <c r="S710" s="1">
        <v>44447</v>
      </c>
      <c r="T710" s="1">
        <v>44453</v>
      </c>
      <c r="U710">
        <v>37501</v>
      </c>
      <c r="V710" t="s">
        <v>61</v>
      </c>
      <c r="W710" t="s">
        <v>1278</v>
      </c>
      <c r="X710" s="1">
        <v>44454</v>
      </c>
      <c r="Y710" t="s">
        <v>63</v>
      </c>
      <c r="Z710">
        <v>281.02999999999997</v>
      </c>
      <c r="AA710">
        <v>16</v>
      </c>
      <c r="AB710">
        <v>44.97</v>
      </c>
      <c r="AC710">
        <v>0</v>
      </c>
      <c r="AD710">
        <v>326</v>
      </c>
      <c r="AE710">
        <v>5501.95</v>
      </c>
      <c r="AF710">
        <v>7988</v>
      </c>
      <c r="AG710" t="s">
        <v>1255</v>
      </c>
      <c r="AH710" t="s">
        <v>65</v>
      </c>
      <c r="AI710" t="s">
        <v>65</v>
      </c>
      <c r="AJ710" t="s">
        <v>66</v>
      </c>
      <c r="AK710" t="s">
        <v>66</v>
      </c>
      <c r="AL710" t="s">
        <v>66</v>
      </c>
      <c r="AM710" s="2" t="str">
        <f>HYPERLINK("https://transparencia.cidesi.mx/comprobantes/2021/CQ2100818 /C12RORR791119M94_Factura__38340_6A6E2182-AD73-4B7F-ABA0-7FD9992B2105.pdf")</f>
        <v>https://transparencia.cidesi.mx/comprobantes/2021/CQ2100818 /C12RORR791119M94_Factura__38340_6A6E2182-AD73-4B7F-ABA0-7FD9992B2105.pdf</v>
      </c>
      <c r="AN710" t="str">
        <f>HYPERLINK("https://transparencia.cidesi.mx/comprobantes/2021/CQ2100818 /C12RORR791119M94_Factura__38340_6A6E2182-AD73-4B7F-ABA0-7FD9992B2105.pdf")</f>
        <v>https://transparencia.cidesi.mx/comprobantes/2021/CQ2100818 /C12RORR791119M94_Factura__38340_6A6E2182-AD73-4B7F-ABA0-7FD9992B2105.pdf</v>
      </c>
      <c r="AO710" t="str">
        <f>HYPERLINK("https://transparencia.cidesi.mx/comprobantes/2021/CQ2100818 /C12RORR791119M94_Factura__38340_6A6E2182-AD73-4B7F-ABA0-7FD9992B2105.xml")</f>
        <v>https://transparencia.cidesi.mx/comprobantes/2021/CQ2100818 /C12RORR791119M94_Factura__38340_6A6E2182-AD73-4B7F-ABA0-7FD9992B2105.xml</v>
      </c>
      <c r="AP710" t="s">
        <v>1279</v>
      </c>
      <c r="AQ710" t="s">
        <v>1280</v>
      </c>
      <c r="AR710" t="s">
        <v>1279</v>
      </c>
      <c r="AS710" t="s">
        <v>1281</v>
      </c>
      <c r="AT710" s="1">
        <v>44462</v>
      </c>
      <c r="AU710" s="1">
        <v>44473</v>
      </c>
    </row>
    <row r="711" spans="1:47" x14ac:dyDescent="0.3">
      <c r="A711" t="s">
        <v>47</v>
      </c>
      <c r="B711" t="s">
        <v>224</v>
      </c>
      <c r="C711" t="s">
        <v>225</v>
      </c>
      <c r="D711">
        <v>696</v>
      </c>
      <c r="E711" t="s">
        <v>1249</v>
      </c>
      <c r="F711" t="s">
        <v>1250</v>
      </c>
      <c r="G711" t="s">
        <v>1251</v>
      </c>
      <c r="H711" t="s">
        <v>1282</v>
      </c>
      <c r="I711" t="s">
        <v>54</v>
      </c>
      <c r="J711" t="s">
        <v>1283</v>
      </c>
      <c r="K711" t="s">
        <v>56</v>
      </c>
      <c r="L711">
        <v>0</v>
      </c>
      <c r="M711" t="s">
        <v>73</v>
      </c>
      <c r="N711">
        <v>0</v>
      </c>
      <c r="O711" t="s">
        <v>58</v>
      </c>
      <c r="P711" t="s">
        <v>59</v>
      </c>
      <c r="Q711" t="s">
        <v>1284</v>
      </c>
      <c r="R711" t="s">
        <v>1283</v>
      </c>
      <c r="S711" s="1">
        <v>44460</v>
      </c>
      <c r="T711" s="1">
        <v>44460</v>
      </c>
      <c r="U711">
        <v>37501</v>
      </c>
      <c r="V711" t="s">
        <v>61</v>
      </c>
      <c r="W711" t="s">
        <v>1285</v>
      </c>
      <c r="X711" s="1">
        <v>44466</v>
      </c>
      <c r="Y711" t="s">
        <v>63</v>
      </c>
      <c r="Z711">
        <v>301.72000000000003</v>
      </c>
      <c r="AA711">
        <v>16</v>
      </c>
      <c r="AB711">
        <v>48.28</v>
      </c>
      <c r="AC711">
        <v>0</v>
      </c>
      <c r="AD711">
        <v>350</v>
      </c>
      <c r="AE711">
        <v>425.01</v>
      </c>
      <c r="AF711">
        <v>545</v>
      </c>
      <c r="AG711" t="s">
        <v>1255</v>
      </c>
      <c r="AH711" t="s">
        <v>65</v>
      </c>
      <c r="AI711" t="s">
        <v>65</v>
      </c>
      <c r="AJ711" t="s">
        <v>66</v>
      </c>
      <c r="AK711" t="s">
        <v>66</v>
      </c>
      <c r="AL711" t="s">
        <v>66</v>
      </c>
      <c r="AM711" s="2" t="str">
        <f>HYPERLINK("https://transparencia.cidesi.mx/comprobantes/2021/CQ2100891 /C1RUFM731208CB3FFM3976.pdf")</f>
        <v>https://transparencia.cidesi.mx/comprobantes/2021/CQ2100891 /C1RUFM731208CB3FFM3976.pdf</v>
      </c>
      <c r="AN711" t="str">
        <f>HYPERLINK("https://transparencia.cidesi.mx/comprobantes/2021/CQ2100891 /C1RUFM731208CB3FFM3976.pdf")</f>
        <v>https://transparencia.cidesi.mx/comprobantes/2021/CQ2100891 /C1RUFM731208CB3FFM3976.pdf</v>
      </c>
      <c r="AO711" t="str">
        <f>HYPERLINK("https://transparencia.cidesi.mx/comprobantes/2021/CQ2100891 /C1RUFM731208CB3FFM3976.xml")</f>
        <v>https://transparencia.cidesi.mx/comprobantes/2021/CQ2100891 /C1RUFM731208CB3FFM3976.xml</v>
      </c>
      <c r="AP711" t="s">
        <v>1283</v>
      </c>
      <c r="AQ711" t="s">
        <v>1286</v>
      </c>
      <c r="AR711" t="s">
        <v>1286</v>
      </c>
      <c r="AS711" t="s">
        <v>1261</v>
      </c>
      <c r="AT711" s="1">
        <v>44467</v>
      </c>
      <c r="AU711" s="1">
        <v>44473</v>
      </c>
    </row>
    <row r="712" spans="1:47" x14ac:dyDescent="0.3">
      <c r="A712" t="s">
        <v>47</v>
      </c>
      <c r="B712" t="s">
        <v>224</v>
      </c>
      <c r="C712" t="s">
        <v>225</v>
      </c>
      <c r="D712">
        <v>696</v>
      </c>
      <c r="E712" t="s">
        <v>1249</v>
      </c>
      <c r="F712" t="s">
        <v>1250</v>
      </c>
      <c r="G712" t="s">
        <v>1251</v>
      </c>
      <c r="H712" t="s">
        <v>1282</v>
      </c>
      <c r="I712" t="s">
        <v>54</v>
      </c>
      <c r="J712" t="s">
        <v>1283</v>
      </c>
      <c r="K712" t="s">
        <v>56</v>
      </c>
      <c r="L712">
        <v>0</v>
      </c>
      <c r="M712" t="s">
        <v>73</v>
      </c>
      <c r="N712">
        <v>0</v>
      </c>
      <c r="O712" t="s">
        <v>58</v>
      </c>
      <c r="P712" t="s">
        <v>59</v>
      </c>
      <c r="Q712" t="s">
        <v>1284</v>
      </c>
      <c r="R712" t="s">
        <v>1283</v>
      </c>
      <c r="S712" s="1">
        <v>44460</v>
      </c>
      <c r="T712" s="1">
        <v>44460</v>
      </c>
      <c r="U712">
        <v>37501</v>
      </c>
      <c r="V712" t="s">
        <v>61</v>
      </c>
      <c r="W712" t="s">
        <v>1285</v>
      </c>
      <c r="X712" s="1">
        <v>44466</v>
      </c>
      <c r="Y712" t="s">
        <v>63</v>
      </c>
      <c r="Z712">
        <v>71.22</v>
      </c>
      <c r="AA712">
        <v>16</v>
      </c>
      <c r="AB712">
        <v>3.79</v>
      </c>
      <c r="AC712">
        <v>0</v>
      </c>
      <c r="AD712">
        <v>75.010000000000005</v>
      </c>
      <c r="AE712">
        <v>425.01</v>
      </c>
      <c r="AF712">
        <v>545</v>
      </c>
      <c r="AG712" t="s">
        <v>1255</v>
      </c>
      <c r="AH712" t="s">
        <v>65</v>
      </c>
      <c r="AI712" t="s">
        <v>65</v>
      </c>
      <c r="AJ712" t="s">
        <v>66</v>
      </c>
      <c r="AK712" t="s">
        <v>66</v>
      </c>
      <c r="AL712" t="s">
        <v>66</v>
      </c>
      <c r="AM712" s="2" t="str">
        <f>HYPERLINK("https://transparencia.cidesi.mx/comprobantes/2021/CQ2100891 /C2FACTURA_1632263127058_345422439.pdf")</f>
        <v>https://transparencia.cidesi.mx/comprobantes/2021/CQ2100891 /C2FACTURA_1632263127058_345422439.pdf</v>
      </c>
      <c r="AN712" t="str">
        <f>HYPERLINK("https://transparencia.cidesi.mx/comprobantes/2021/CQ2100891 /C2FACTURA_1632263127058_345422439.pdf")</f>
        <v>https://transparencia.cidesi.mx/comprobantes/2021/CQ2100891 /C2FACTURA_1632263127058_345422439.pdf</v>
      </c>
      <c r="AO712" t="str">
        <f>HYPERLINK("https://transparencia.cidesi.mx/comprobantes/2021/CQ2100891 /C2FACTURA_1632263127058_345422439.xml")</f>
        <v>https://transparencia.cidesi.mx/comprobantes/2021/CQ2100891 /C2FACTURA_1632263127058_345422439.xml</v>
      </c>
      <c r="AP712" t="s">
        <v>1283</v>
      </c>
      <c r="AQ712" t="s">
        <v>1286</v>
      </c>
      <c r="AR712" t="s">
        <v>1286</v>
      </c>
      <c r="AS712" t="s">
        <v>1261</v>
      </c>
      <c r="AT712" s="1">
        <v>44467</v>
      </c>
      <c r="AU712" s="1">
        <v>44473</v>
      </c>
    </row>
    <row r="713" spans="1:47" x14ac:dyDescent="0.3">
      <c r="A713" t="s">
        <v>47</v>
      </c>
      <c r="B713" t="s">
        <v>224</v>
      </c>
      <c r="C713" t="s">
        <v>225</v>
      </c>
      <c r="D713">
        <v>696</v>
      </c>
      <c r="E713" t="s">
        <v>1249</v>
      </c>
      <c r="F713" t="s">
        <v>1250</v>
      </c>
      <c r="G713" t="s">
        <v>1251</v>
      </c>
      <c r="H713" t="s">
        <v>1287</v>
      </c>
      <c r="I713" t="s">
        <v>54</v>
      </c>
      <c r="J713" t="s">
        <v>1283</v>
      </c>
      <c r="K713" t="s">
        <v>56</v>
      </c>
      <c r="L713">
        <v>0</v>
      </c>
      <c r="M713" t="s">
        <v>73</v>
      </c>
      <c r="N713">
        <v>0</v>
      </c>
      <c r="O713" t="s">
        <v>58</v>
      </c>
      <c r="P713" t="s">
        <v>59</v>
      </c>
      <c r="Q713" t="s">
        <v>1284</v>
      </c>
      <c r="R713" t="s">
        <v>1283</v>
      </c>
      <c r="S713" s="1">
        <v>44461</v>
      </c>
      <c r="T713" s="1">
        <v>44461</v>
      </c>
      <c r="U713">
        <v>37501</v>
      </c>
      <c r="V713" t="s">
        <v>61</v>
      </c>
      <c r="W713" t="s">
        <v>1288</v>
      </c>
      <c r="X713" s="1">
        <v>44466</v>
      </c>
      <c r="Y713" t="s">
        <v>63</v>
      </c>
      <c r="Z713">
        <v>318.95999999999998</v>
      </c>
      <c r="AA713">
        <v>16</v>
      </c>
      <c r="AB713">
        <v>51.03</v>
      </c>
      <c r="AC713">
        <v>0</v>
      </c>
      <c r="AD713">
        <v>369.99</v>
      </c>
      <c r="AE713">
        <v>473.99</v>
      </c>
      <c r="AF713">
        <v>545</v>
      </c>
      <c r="AG713" t="s">
        <v>1255</v>
      </c>
      <c r="AH713" t="s">
        <v>65</v>
      </c>
      <c r="AI713" t="s">
        <v>65</v>
      </c>
      <c r="AJ713" t="s">
        <v>66</v>
      </c>
      <c r="AK713" t="s">
        <v>66</v>
      </c>
      <c r="AL713" t="s">
        <v>66</v>
      </c>
      <c r="AM713" s="2" t="str">
        <f>HYPERLINK("https://transparencia.cidesi.mx/comprobantes/2021/CQ2100892 /C1FA-RN026116-AULG430317679.pdf")</f>
        <v>https://transparencia.cidesi.mx/comprobantes/2021/CQ2100892 /C1FA-RN026116-AULG430317679.pdf</v>
      </c>
      <c r="AN713" t="str">
        <f>HYPERLINK("https://transparencia.cidesi.mx/comprobantes/2021/CQ2100892 /C1FA-RN026116-AULG430317679.pdf")</f>
        <v>https://transparencia.cidesi.mx/comprobantes/2021/CQ2100892 /C1FA-RN026116-AULG430317679.pdf</v>
      </c>
      <c r="AO713" t="str">
        <f>HYPERLINK("https://transparencia.cidesi.mx/comprobantes/2021/CQ2100892 /C1FA-RN026116-AULG430317679.xml")</f>
        <v>https://transparencia.cidesi.mx/comprobantes/2021/CQ2100892 /C1FA-RN026116-AULG430317679.xml</v>
      </c>
      <c r="AP713" t="s">
        <v>1289</v>
      </c>
      <c r="AQ713" t="s">
        <v>1289</v>
      </c>
      <c r="AR713" t="s">
        <v>1289</v>
      </c>
      <c r="AS713" t="s">
        <v>1290</v>
      </c>
      <c r="AT713" s="1">
        <v>44467</v>
      </c>
      <c r="AU713" s="1">
        <v>44473</v>
      </c>
    </row>
    <row r="714" spans="1:47" x14ac:dyDescent="0.3">
      <c r="A714" t="s">
        <v>47</v>
      </c>
      <c r="B714" t="s">
        <v>224</v>
      </c>
      <c r="C714" t="s">
        <v>225</v>
      </c>
      <c r="D714">
        <v>696</v>
      </c>
      <c r="E714" t="s">
        <v>1249</v>
      </c>
      <c r="F714" t="s">
        <v>1250</v>
      </c>
      <c r="G714" t="s">
        <v>1251</v>
      </c>
      <c r="H714" t="s">
        <v>1287</v>
      </c>
      <c r="I714" t="s">
        <v>54</v>
      </c>
      <c r="J714" t="s">
        <v>1283</v>
      </c>
      <c r="K714" t="s">
        <v>56</v>
      </c>
      <c r="L714">
        <v>0</v>
      </c>
      <c r="M714" t="s">
        <v>73</v>
      </c>
      <c r="N714">
        <v>0</v>
      </c>
      <c r="O714" t="s">
        <v>58</v>
      </c>
      <c r="P714" t="s">
        <v>59</v>
      </c>
      <c r="Q714" t="s">
        <v>1284</v>
      </c>
      <c r="R714" t="s">
        <v>1283</v>
      </c>
      <c r="S714" s="1">
        <v>44461</v>
      </c>
      <c r="T714" s="1">
        <v>44461</v>
      </c>
      <c r="U714">
        <v>37501</v>
      </c>
      <c r="V714" t="s">
        <v>61</v>
      </c>
      <c r="W714" t="s">
        <v>1288</v>
      </c>
      <c r="X714" s="1">
        <v>44466</v>
      </c>
      <c r="Y714" t="s">
        <v>63</v>
      </c>
      <c r="Z714">
        <v>100.21</v>
      </c>
      <c r="AA714">
        <v>16</v>
      </c>
      <c r="AB714">
        <v>3.79</v>
      </c>
      <c r="AC714">
        <v>0</v>
      </c>
      <c r="AD714">
        <v>104</v>
      </c>
      <c r="AE714">
        <v>473.99</v>
      </c>
      <c r="AF714">
        <v>545</v>
      </c>
      <c r="AG714" t="s">
        <v>1255</v>
      </c>
      <c r="AH714" t="s">
        <v>65</v>
      </c>
      <c r="AI714" t="s">
        <v>65</v>
      </c>
      <c r="AJ714" t="s">
        <v>66</v>
      </c>
      <c r="AK714" t="s">
        <v>66</v>
      </c>
      <c r="AL714" t="s">
        <v>66</v>
      </c>
      <c r="AM714" s="2" t="str">
        <f>HYPERLINK("https://transparencia.cidesi.mx/comprobantes/2021/CQ2100892 /C2FACTURA_1632612394714_345929023.pdf")</f>
        <v>https://transparencia.cidesi.mx/comprobantes/2021/CQ2100892 /C2FACTURA_1632612394714_345929023.pdf</v>
      </c>
      <c r="AN714" t="str">
        <f>HYPERLINK("https://transparencia.cidesi.mx/comprobantes/2021/CQ2100892 /C2FACTURA_1632612394714_345929023.pdf")</f>
        <v>https://transparencia.cidesi.mx/comprobantes/2021/CQ2100892 /C2FACTURA_1632612394714_345929023.pdf</v>
      </c>
      <c r="AO714" t="str">
        <f>HYPERLINK("https://transparencia.cidesi.mx/comprobantes/2021/CQ2100892 /C2FACTURA_1632612392164_345929023.xml")</f>
        <v>https://transparencia.cidesi.mx/comprobantes/2021/CQ2100892 /C2FACTURA_1632612392164_345929023.xml</v>
      </c>
      <c r="AP714" t="s">
        <v>1289</v>
      </c>
      <c r="AQ714" t="s">
        <v>1289</v>
      </c>
      <c r="AR714" t="s">
        <v>1289</v>
      </c>
      <c r="AS714" t="s">
        <v>1290</v>
      </c>
      <c r="AT714" s="1">
        <v>44467</v>
      </c>
      <c r="AU714" s="1">
        <v>44473</v>
      </c>
    </row>
    <row r="715" spans="1:47" x14ac:dyDescent="0.3">
      <c r="A715" t="s">
        <v>47</v>
      </c>
      <c r="B715" t="s">
        <v>224</v>
      </c>
      <c r="C715" t="s">
        <v>225</v>
      </c>
      <c r="D715">
        <v>696</v>
      </c>
      <c r="E715" t="s">
        <v>1249</v>
      </c>
      <c r="F715" t="s">
        <v>1250</v>
      </c>
      <c r="G715" t="s">
        <v>1251</v>
      </c>
      <c r="H715" t="s">
        <v>1291</v>
      </c>
      <c r="I715" t="s">
        <v>54</v>
      </c>
      <c r="J715" t="s">
        <v>1292</v>
      </c>
      <c r="K715" t="s">
        <v>56</v>
      </c>
      <c r="L715">
        <v>0</v>
      </c>
      <c r="M715" t="s">
        <v>73</v>
      </c>
      <c r="N715">
        <v>0</v>
      </c>
      <c r="O715" t="s">
        <v>58</v>
      </c>
      <c r="P715" t="s">
        <v>59</v>
      </c>
      <c r="Q715" t="s">
        <v>1284</v>
      </c>
      <c r="R715" t="s">
        <v>1292</v>
      </c>
      <c r="S715" s="1">
        <v>44462</v>
      </c>
      <c r="T715" s="1">
        <v>44462</v>
      </c>
      <c r="U715">
        <v>37501</v>
      </c>
      <c r="V715" t="s">
        <v>61</v>
      </c>
      <c r="W715" t="s">
        <v>1293</v>
      </c>
      <c r="X715" s="1">
        <v>44466</v>
      </c>
      <c r="Y715" t="s">
        <v>63</v>
      </c>
      <c r="Z715">
        <v>404.93</v>
      </c>
      <c r="AA715">
        <v>16</v>
      </c>
      <c r="AB715">
        <v>58.07</v>
      </c>
      <c r="AC715">
        <v>0</v>
      </c>
      <c r="AD715">
        <v>463</v>
      </c>
      <c r="AE715">
        <v>517.5</v>
      </c>
      <c r="AF715">
        <v>545</v>
      </c>
      <c r="AG715" t="s">
        <v>1255</v>
      </c>
      <c r="AH715" t="s">
        <v>65</v>
      </c>
      <c r="AI715" t="s">
        <v>65</v>
      </c>
      <c r="AJ715" t="s">
        <v>66</v>
      </c>
      <c r="AK715" t="s">
        <v>66</v>
      </c>
      <c r="AL715" t="s">
        <v>66</v>
      </c>
      <c r="AM715" s="2" t="str">
        <f>HYPERLINK("https://transparencia.cidesi.mx/comprobantes/2021/CQ2100893 /C1GEX0108298K9FB0000091614.pdf")</f>
        <v>https://transparencia.cidesi.mx/comprobantes/2021/CQ2100893 /C1GEX0108298K9FB0000091614.pdf</v>
      </c>
      <c r="AN715" t="str">
        <f>HYPERLINK("https://transparencia.cidesi.mx/comprobantes/2021/CQ2100893 /C1GEX0108298K9FB0000091614.pdf")</f>
        <v>https://transparencia.cidesi.mx/comprobantes/2021/CQ2100893 /C1GEX0108298K9FB0000091614.pdf</v>
      </c>
      <c r="AO715" t="str">
        <f>HYPERLINK("https://transparencia.cidesi.mx/comprobantes/2021/CQ2100893 /C1GEX0108298K9FB0000091614.xml")</f>
        <v>https://transparencia.cidesi.mx/comprobantes/2021/CQ2100893 /C1GEX0108298K9FB0000091614.xml</v>
      </c>
      <c r="AP715" t="s">
        <v>1294</v>
      </c>
      <c r="AQ715" t="s">
        <v>1294</v>
      </c>
      <c r="AR715" t="s">
        <v>1294</v>
      </c>
      <c r="AS715" t="s">
        <v>1295</v>
      </c>
      <c r="AT715" s="1">
        <v>44467</v>
      </c>
      <c r="AU715" s="1">
        <v>44473</v>
      </c>
    </row>
    <row r="716" spans="1:47" x14ac:dyDescent="0.3">
      <c r="A716" t="s">
        <v>47</v>
      </c>
      <c r="B716" t="s">
        <v>224</v>
      </c>
      <c r="C716" t="s">
        <v>225</v>
      </c>
      <c r="D716">
        <v>696</v>
      </c>
      <c r="E716" t="s">
        <v>1249</v>
      </c>
      <c r="F716" t="s">
        <v>1250</v>
      </c>
      <c r="G716" t="s">
        <v>1251</v>
      </c>
      <c r="H716" t="s">
        <v>1291</v>
      </c>
      <c r="I716" t="s">
        <v>54</v>
      </c>
      <c r="J716" t="s">
        <v>1292</v>
      </c>
      <c r="K716" t="s">
        <v>56</v>
      </c>
      <c r="L716">
        <v>0</v>
      </c>
      <c r="M716" t="s">
        <v>73</v>
      </c>
      <c r="N716">
        <v>0</v>
      </c>
      <c r="O716" t="s">
        <v>58</v>
      </c>
      <c r="P716" t="s">
        <v>59</v>
      </c>
      <c r="Q716" t="s">
        <v>1284</v>
      </c>
      <c r="R716" t="s">
        <v>1292</v>
      </c>
      <c r="S716" s="1">
        <v>44462</v>
      </c>
      <c r="T716" s="1">
        <v>44462</v>
      </c>
      <c r="U716">
        <v>37501</v>
      </c>
      <c r="V716" t="s">
        <v>61</v>
      </c>
      <c r="W716" t="s">
        <v>1293</v>
      </c>
      <c r="X716" s="1">
        <v>44466</v>
      </c>
      <c r="Y716" t="s">
        <v>63</v>
      </c>
      <c r="Z716">
        <v>50.57</v>
      </c>
      <c r="AA716">
        <v>16</v>
      </c>
      <c r="AB716">
        <v>3.93</v>
      </c>
      <c r="AC716">
        <v>0</v>
      </c>
      <c r="AD716">
        <v>54.5</v>
      </c>
      <c r="AE716">
        <v>517.5</v>
      </c>
      <c r="AF716">
        <v>545</v>
      </c>
      <c r="AG716" t="s">
        <v>1255</v>
      </c>
      <c r="AH716" t="s">
        <v>65</v>
      </c>
      <c r="AI716" t="s">
        <v>65</v>
      </c>
      <c r="AJ716" t="s">
        <v>66</v>
      </c>
      <c r="AK716" t="s">
        <v>66</v>
      </c>
      <c r="AL716" t="s">
        <v>66</v>
      </c>
      <c r="AM716" s="2" t="str">
        <f>HYPERLINK("https://transparencia.cidesi.mx/comprobantes/2021/CQ2100893 /C2FACTURA_1632612829074_345929581.pdf")</f>
        <v>https://transparencia.cidesi.mx/comprobantes/2021/CQ2100893 /C2FACTURA_1632612829074_345929581.pdf</v>
      </c>
      <c r="AN716" t="str">
        <f>HYPERLINK("https://transparencia.cidesi.mx/comprobantes/2021/CQ2100893 /C2FACTURA_1632612829074_345929581.pdf")</f>
        <v>https://transparencia.cidesi.mx/comprobantes/2021/CQ2100893 /C2FACTURA_1632612829074_345929581.pdf</v>
      </c>
      <c r="AO716" t="str">
        <f>HYPERLINK("https://transparencia.cidesi.mx/comprobantes/2021/CQ2100893 /C2FACTURA_1632612826794_345929581.xml")</f>
        <v>https://transparencia.cidesi.mx/comprobantes/2021/CQ2100893 /C2FACTURA_1632612826794_345929581.xml</v>
      </c>
      <c r="AP716" t="s">
        <v>1294</v>
      </c>
      <c r="AQ716" t="s">
        <v>1294</v>
      </c>
      <c r="AR716" t="s">
        <v>1294</v>
      </c>
      <c r="AS716" t="s">
        <v>1295</v>
      </c>
      <c r="AT716" s="1">
        <v>44467</v>
      </c>
      <c r="AU716" s="1">
        <v>44473</v>
      </c>
    </row>
    <row r="717" spans="1:47" x14ac:dyDescent="0.3">
      <c r="A717" t="s">
        <v>47</v>
      </c>
      <c r="B717" t="s">
        <v>224</v>
      </c>
      <c r="C717" t="s">
        <v>225</v>
      </c>
      <c r="D717">
        <v>696</v>
      </c>
      <c r="E717" t="s">
        <v>1249</v>
      </c>
      <c r="F717" t="s">
        <v>1250</v>
      </c>
      <c r="G717" t="s">
        <v>1251</v>
      </c>
      <c r="H717" t="s">
        <v>1296</v>
      </c>
      <c r="I717" t="s">
        <v>54</v>
      </c>
      <c r="J717" t="s">
        <v>1292</v>
      </c>
      <c r="K717" t="s">
        <v>56</v>
      </c>
      <c r="L717">
        <v>0</v>
      </c>
      <c r="M717" t="s">
        <v>73</v>
      </c>
      <c r="N717">
        <v>0</v>
      </c>
      <c r="O717" t="s">
        <v>58</v>
      </c>
      <c r="P717" t="s">
        <v>59</v>
      </c>
      <c r="Q717" t="s">
        <v>1284</v>
      </c>
      <c r="R717" t="s">
        <v>1292</v>
      </c>
      <c r="S717" s="1">
        <v>44463</v>
      </c>
      <c r="T717" s="1">
        <v>44463</v>
      </c>
      <c r="U717">
        <v>37501</v>
      </c>
      <c r="V717" t="s">
        <v>61</v>
      </c>
      <c r="W717" t="s">
        <v>1297</v>
      </c>
      <c r="X717" s="1">
        <v>44466</v>
      </c>
      <c r="Y717" t="s">
        <v>63</v>
      </c>
      <c r="Z717">
        <v>376.72</v>
      </c>
      <c r="AA717">
        <v>16</v>
      </c>
      <c r="AB717">
        <v>60.28</v>
      </c>
      <c r="AC717">
        <v>0</v>
      </c>
      <c r="AD717">
        <v>437</v>
      </c>
      <c r="AE717">
        <v>539</v>
      </c>
      <c r="AF717">
        <v>545</v>
      </c>
      <c r="AG717" t="s">
        <v>1255</v>
      </c>
      <c r="AH717" t="s">
        <v>65</v>
      </c>
      <c r="AI717" t="s">
        <v>65</v>
      </c>
      <c r="AJ717" t="s">
        <v>66</v>
      </c>
      <c r="AK717" t="s">
        <v>66</v>
      </c>
      <c r="AL717" t="s">
        <v>66</v>
      </c>
      <c r="AM717" s="2" t="str">
        <f>HYPERLINK("https://transparencia.cidesi.mx/comprobantes/2021/CQ2100896 /C1FA-RN026152-AULG430317679.pdf")</f>
        <v>https://transparencia.cidesi.mx/comprobantes/2021/CQ2100896 /C1FA-RN026152-AULG430317679.pdf</v>
      </c>
      <c r="AN717" t="str">
        <f>HYPERLINK("https://transparencia.cidesi.mx/comprobantes/2021/CQ2100896 /C1FA-RN026152-AULG430317679.pdf")</f>
        <v>https://transparencia.cidesi.mx/comprobantes/2021/CQ2100896 /C1FA-RN026152-AULG430317679.pdf</v>
      </c>
      <c r="AO717" t="str">
        <f>HYPERLINK("https://transparencia.cidesi.mx/comprobantes/2021/CQ2100896 /C1FA-RN026152-AULG430317679.xml")</f>
        <v>https://transparencia.cidesi.mx/comprobantes/2021/CQ2100896 /C1FA-RN026152-AULG430317679.xml</v>
      </c>
      <c r="AP717" t="s">
        <v>1298</v>
      </c>
      <c r="AQ717" t="s">
        <v>1298</v>
      </c>
      <c r="AR717" t="s">
        <v>1298</v>
      </c>
      <c r="AS717" t="s">
        <v>1261</v>
      </c>
      <c r="AT717" s="1">
        <v>44467</v>
      </c>
      <c r="AU717" s="1">
        <v>44473</v>
      </c>
    </row>
    <row r="718" spans="1:47" x14ac:dyDescent="0.3">
      <c r="A718" t="s">
        <v>47</v>
      </c>
      <c r="B718" t="s">
        <v>224</v>
      </c>
      <c r="C718" t="s">
        <v>225</v>
      </c>
      <c r="D718">
        <v>696</v>
      </c>
      <c r="E718" t="s">
        <v>1249</v>
      </c>
      <c r="F718" t="s">
        <v>1250</v>
      </c>
      <c r="G718" t="s">
        <v>1251</v>
      </c>
      <c r="H718" t="s">
        <v>1296</v>
      </c>
      <c r="I718" t="s">
        <v>54</v>
      </c>
      <c r="J718" t="s">
        <v>1292</v>
      </c>
      <c r="K718" t="s">
        <v>56</v>
      </c>
      <c r="L718">
        <v>0</v>
      </c>
      <c r="M718" t="s">
        <v>73</v>
      </c>
      <c r="N718">
        <v>0</v>
      </c>
      <c r="O718" t="s">
        <v>58</v>
      </c>
      <c r="P718" t="s">
        <v>59</v>
      </c>
      <c r="Q718" t="s">
        <v>1284</v>
      </c>
      <c r="R718" t="s">
        <v>1292</v>
      </c>
      <c r="S718" s="1">
        <v>44463</v>
      </c>
      <c r="T718" s="1">
        <v>44463</v>
      </c>
      <c r="U718">
        <v>37501</v>
      </c>
      <c r="V718" t="s">
        <v>61</v>
      </c>
      <c r="W718" t="s">
        <v>1297</v>
      </c>
      <c r="X718" s="1">
        <v>44466</v>
      </c>
      <c r="Y718" t="s">
        <v>63</v>
      </c>
      <c r="Z718">
        <v>98.07</v>
      </c>
      <c r="AA718">
        <v>16</v>
      </c>
      <c r="AB718">
        <v>3.93</v>
      </c>
      <c r="AC718">
        <v>0</v>
      </c>
      <c r="AD718">
        <v>102</v>
      </c>
      <c r="AE718">
        <v>539</v>
      </c>
      <c r="AF718">
        <v>545</v>
      </c>
      <c r="AG718" t="s">
        <v>1255</v>
      </c>
      <c r="AH718" t="s">
        <v>65</v>
      </c>
      <c r="AI718" t="s">
        <v>65</v>
      </c>
      <c r="AJ718" t="s">
        <v>66</v>
      </c>
      <c r="AK718" t="s">
        <v>66</v>
      </c>
      <c r="AL718" t="s">
        <v>66</v>
      </c>
      <c r="AM718" s="2" t="str">
        <f>HYPERLINK("https://transparencia.cidesi.mx/comprobantes/2021/CQ2100896 /C2FACTURA_1632612215155_345928747.pdf")</f>
        <v>https://transparencia.cidesi.mx/comprobantes/2021/CQ2100896 /C2FACTURA_1632612215155_345928747.pdf</v>
      </c>
      <c r="AN718" t="str">
        <f>HYPERLINK("https://transparencia.cidesi.mx/comprobantes/2021/CQ2100896 /C2FACTURA_1632612215155_345928747.pdf")</f>
        <v>https://transparencia.cidesi.mx/comprobantes/2021/CQ2100896 /C2FACTURA_1632612215155_345928747.pdf</v>
      </c>
      <c r="AO718" t="str">
        <f>HYPERLINK("https://transparencia.cidesi.mx/comprobantes/2021/CQ2100896 /C2FACTURA_1632612213395_345928747.xml")</f>
        <v>https://transparencia.cidesi.mx/comprobantes/2021/CQ2100896 /C2FACTURA_1632612213395_345928747.xml</v>
      </c>
      <c r="AP718" t="s">
        <v>1298</v>
      </c>
      <c r="AQ718" t="s">
        <v>1298</v>
      </c>
      <c r="AR718" t="s">
        <v>1298</v>
      </c>
      <c r="AS718" t="s">
        <v>1261</v>
      </c>
      <c r="AT718" s="1">
        <v>44467</v>
      </c>
      <c r="AU718" s="1">
        <v>44473</v>
      </c>
    </row>
    <row r="719" spans="1:47" x14ac:dyDescent="0.3">
      <c r="A719" t="s">
        <v>47</v>
      </c>
      <c r="B719" t="s">
        <v>224</v>
      </c>
      <c r="C719" t="s">
        <v>372</v>
      </c>
      <c r="D719">
        <v>700</v>
      </c>
      <c r="E719" t="s">
        <v>1299</v>
      </c>
      <c r="F719" t="s">
        <v>1300</v>
      </c>
      <c r="G719" t="s">
        <v>1301</v>
      </c>
      <c r="H719" t="s">
        <v>1302</v>
      </c>
      <c r="I719" t="s">
        <v>54</v>
      </c>
      <c r="J719" t="s">
        <v>1303</v>
      </c>
      <c r="K719" t="s">
        <v>56</v>
      </c>
      <c r="L719">
        <v>0</v>
      </c>
      <c r="M719" t="s">
        <v>73</v>
      </c>
      <c r="N719">
        <v>0</v>
      </c>
      <c r="O719" t="s">
        <v>58</v>
      </c>
      <c r="P719" t="s">
        <v>59</v>
      </c>
      <c r="Q719" t="s">
        <v>378</v>
      </c>
      <c r="R719" t="s">
        <v>1303</v>
      </c>
      <c r="S719" s="1">
        <v>44404</v>
      </c>
      <c r="T719" s="1">
        <v>44404</v>
      </c>
      <c r="U719">
        <v>37501</v>
      </c>
      <c r="V719" t="s">
        <v>61</v>
      </c>
      <c r="W719" t="s">
        <v>1304</v>
      </c>
      <c r="X719" s="1">
        <v>44405</v>
      </c>
      <c r="Y719" t="s">
        <v>100</v>
      </c>
      <c r="Z719">
        <v>469.83</v>
      </c>
      <c r="AA719">
        <v>16</v>
      </c>
      <c r="AB719">
        <v>75.17</v>
      </c>
      <c r="AC719">
        <v>0</v>
      </c>
      <c r="AD719">
        <v>545</v>
      </c>
      <c r="AE719">
        <v>545</v>
      </c>
      <c r="AF719">
        <v>545</v>
      </c>
      <c r="AG719" t="s">
        <v>1305</v>
      </c>
      <c r="AH719" t="s">
        <v>65</v>
      </c>
      <c r="AI719" t="s">
        <v>65</v>
      </c>
      <c r="AJ719" t="s">
        <v>66</v>
      </c>
      <c r="AK719" t="s">
        <v>66</v>
      </c>
      <c r="AL719" t="s">
        <v>66</v>
      </c>
      <c r="AM719" s="2" t="str">
        <f>HYPERLINK("https://transparencia.cidesi.mx/comprobantes/2021/CQ2100561 /C1FRE0000010153.pdf")</f>
        <v>https://transparencia.cidesi.mx/comprobantes/2021/CQ2100561 /C1FRE0000010153.pdf</v>
      </c>
      <c r="AN719" t="str">
        <f>HYPERLINK("https://transparencia.cidesi.mx/comprobantes/2021/CQ2100561 /C1FRE0000010153.pdf")</f>
        <v>https://transparencia.cidesi.mx/comprobantes/2021/CQ2100561 /C1FRE0000010153.pdf</v>
      </c>
      <c r="AO719" t="str">
        <f>HYPERLINK("https://transparencia.cidesi.mx/comprobantes/2021/CQ2100561 /C1FRE0000010153.xml")</f>
        <v>https://transparencia.cidesi.mx/comprobantes/2021/CQ2100561 /C1FRE0000010153.xml</v>
      </c>
      <c r="AP719" t="s">
        <v>1306</v>
      </c>
      <c r="AQ719" t="s">
        <v>1306</v>
      </c>
      <c r="AR719" t="s">
        <v>1306</v>
      </c>
      <c r="AS719" t="s">
        <v>1306</v>
      </c>
      <c r="AT719" s="1">
        <v>44410</v>
      </c>
      <c r="AU719" t="s">
        <v>73</v>
      </c>
    </row>
    <row r="720" spans="1:47" x14ac:dyDescent="0.3">
      <c r="A720" t="s">
        <v>47</v>
      </c>
      <c r="B720" t="s">
        <v>182</v>
      </c>
      <c r="C720" t="s">
        <v>829</v>
      </c>
      <c r="D720">
        <v>715</v>
      </c>
      <c r="E720" t="s">
        <v>350</v>
      </c>
      <c r="F720" t="s">
        <v>1307</v>
      </c>
      <c r="G720" t="s">
        <v>692</v>
      </c>
      <c r="H720" t="s">
        <v>1308</v>
      </c>
      <c r="I720" t="s">
        <v>54</v>
      </c>
      <c r="J720" t="s">
        <v>1309</v>
      </c>
      <c r="K720" t="s">
        <v>56</v>
      </c>
      <c r="L720">
        <v>0</v>
      </c>
      <c r="M720" t="s">
        <v>73</v>
      </c>
      <c r="N720">
        <v>0</v>
      </c>
      <c r="O720" t="s">
        <v>58</v>
      </c>
      <c r="P720" t="s">
        <v>59</v>
      </c>
      <c r="Q720" t="s">
        <v>378</v>
      </c>
      <c r="R720" t="s">
        <v>1309</v>
      </c>
      <c r="S720" s="1">
        <v>44420</v>
      </c>
      <c r="T720" s="1">
        <v>44420</v>
      </c>
      <c r="U720">
        <v>37501</v>
      </c>
      <c r="V720" t="s">
        <v>61</v>
      </c>
      <c r="W720" t="s">
        <v>1310</v>
      </c>
      <c r="X720" s="1">
        <v>44421</v>
      </c>
      <c r="Y720" t="s">
        <v>63</v>
      </c>
      <c r="Z720">
        <v>260.35000000000002</v>
      </c>
      <c r="AA720">
        <v>16</v>
      </c>
      <c r="AB720">
        <v>41.66</v>
      </c>
      <c r="AC720">
        <v>0</v>
      </c>
      <c r="AD720">
        <v>302.01</v>
      </c>
      <c r="AE720">
        <v>520.01</v>
      </c>
      <c r="AF720">
        <v>545</v>
      </c>
      <c r="AG720" t="s">
        <v>1311</v>
      </c>
      <c r="AH720" t="s">
        <v>65</v>
      </c>
      <c r="AI720" t="s">
        <v>65</v>
      </c>
      <c r="AJ720" t="s">
        <v>66</v>
      </c>
      <c r="AK720" t="s">
        <v>66</v>
      </c>
      <c r="AL720" t="s">
        <v>66</v>
      </c>
      <c r="AM720" s="2" t="str">
        <f>HYPERLINK("https://transparencia.cidesi.mx/comprobantes/2021/CQ2100647 /C1FRE0000010279_STP9701291I3.pdf")</f>
        <v>https://transparencia.cidesi.mx/comprobantes/2021/CQ2100647 /C1FRE0000010279_STP9701291I3.pdf</v>
      </c>
      <c r="AN720" t="str">
        <f>HYPERLINK("https://transparencia.cidesi.mx/comprobantes/2021/CQ2100647 /C1FRE0000010279_STP9701291I3.pdf")</f>
        <v>https://transparencia.cidesi.mx/comprobantes/2021/CQ2100647 /C1FRE0000010279_STP9701291I3.pdf</v>
      </c>
      <c r="AO720" t="str">
        <f>HYPERLINK("https://transparencia.cidesi.mx/comprobantes/2021/CQ2100647 /C1FRE0000010279_STP9701291I3.xml")</f>
        <v>https://transparencia.cidesi.mx/comprobantes/2021/CQ2100647 /C1FRE0000010279_STP9701291I3.xml</v>
      </c>
      <c r="AP720" t="s">
        <v>1312</v>
      </c>
      <c r="AQ720" t="s">
        <v>1313</v>
      </c>
      <c r="AR720" t="s">
        <v>1314</v>
      </c>
      <c r="AS720" t="s">
        <v>1315</v>
      </c>
      <c r="AT720" s="1">
        <v>44428</v>
      </c>
      <c r="AU720" s="1">
        <v>44432</v>
      </c>
    </row>
    <row r="721" spans="1:47" x14ac:dyDescent="0.3">
      <c r="A721" t="s">
        <v>47</v>
      </c>
      <c r="B721" t="s">
        <v>182</v>
      </c>
      <c r="C721" t="s">
        <v>829</v>
      </c>
      <c r="D721">
        <v>715</v>
      </c>
      <c r="E721" t="s">
        <v>350</v>
      </c>
      <c r="F721" t="s">
        <v>1307</v>
      </c>
      <c r="G721" t="s">
        <v>692</v>
      </c>
      <c r="H721" t="s">
        <v>1308</v>
      </c>
      <c r="I721" t="s">
        <v>54</v>
      </c>
      <c r="J721" t="s">
        <v>1309</v>
      </c>
      <c r="K721" t="s">
        <v>56</v>
      </c>
      <c r="L721">
        <v>0</v>
      </c>
      <c r="M721" t="s">
        <v>73</v>
      </c>
      <c r="N721">
        <v>0</v>
      </c>
      <c r="O721" t="s">
        <v>58</v>
      </c>
      <c r="P721" t="s">
        <v>59</v>
      </c>
      <c r="Q721" t="s">
        <v>378</v>
      </c>
      <c r="R721" t="s">
        <v>1309</v>
      </c>
      <c r="S721" s="1">
        <v>44420</v>
      </c>
      <c r="T721" s="1">
        <v>44420</v>
      </c>
      <c r="U721">
        <v>37501</v>
      </c>
      <c r="V721" t="s">
        <v>61</v>
      </c>
      <c r="W721" t="s">
        <v>1310</v>
      </c>
      <c r="X721" s="1">
        <v>44421</v>
      </c>
      <c r="Y721" t="s">
        <v>63</v>
      </c>
      <c r="Z721">
        <v>171.55</v>
      </c>
      <c r="AA721">
        <v>16</v>
      </c>
      <c r="AB721">
        <v>27.45</v>
      </c>
      <c r="AC721">
        <v>19</v>
      </c>
      <c r="AD721">
        <v>218</v>
      </c>
      <c r="AE721">
        <v>520.01</v>
      </c>
      <c r="AF721">
        <v>545</v>
      </c>
      <c r="AG721" t="s">
        <v>1311</v>
      </c>
      <c r="AH721" t="s">
        <v>65</v>
      </c>
      <c r="AI721" t="s">
        <v>65</v>
      </c>
      <c r="AJ721" t="s">
        <v>66</v>
      </c>
      <c r="AK721" t="s">
        <v>66</v>
      </c>
      <c r="AL721" t="s">
        <v>66</v>
      </c>
      <c r="AM721" s="2" t="str">
        <f>HYPERLINK("https://transparencia.cidesi.mx/comprobantes/2021/CQ2100647 /C2FRP-176963_NPA09 0803AM4.pdf")</f>
        <v>https://transparencia.cidesi.mx/comprobantes/2021/CQ2100647 /C2FRP-176963_NPA09 0803AM4.pdf</v>
      </c>
      <c r="AN721" t="str">
        <f>HYPERLINK("https://transparencia.cidesi.mx/comprobantes/2021/CQ2100647 /C2FRP-176963_NPA09 0803AM4.pdf")</f>
        <v>https://transparencia.cidesi.mx/comprobantes/2021/CQ2100647 /C2FRP-176963_NPA09 0803AM4.pdf</v>
      </c>
      <c r="AO721" t="str">
        <f>HYPERLINK("https://transparencia.cidesi.mx/comprobantes/2021/CQ2100647 /C2FRP-176963_NPA09 0803AM4.xml")</f>
        <v>https://transparencia.cidesi.mx/comprobantes/2021/CQ2100647 /C2FRP-176963_NPA09 0803AM4.xml</v>
      </c>
      <c r="AP721" t="s">
        <v>1312</v>
      </c>
      <c r="AQ721" t="s">
        <v>1313</v>
      </c>
      <c r="AR721" t="s">
        <v>1314</v>
      </c>
      <c r="AS721" t="s">
        <v>1315</v>
      </c>
      <c r="AT721" s="1">
        <v>44428</v>
      </c>
      <c r="AU721" s="1">
        <v>44432</v>
      </c>
    </row>
    <row r="722" spans="1:47" x14ac:dyDescent="0.3">
      <c r="A722" t="s">
        <v>47</v>
      </c>
      <c r="B722" t="s">
        <v>224</v>
      </c>
      <c r="C722" t="s">
        <v>225</v>
      </c>
      <c r="D722">
        <v>726</v>
      </c>
      <c r="E722" t="s">
        <v>1316</v>
      </c>
      <c r="F722" t="s">
        <v>1207</v>
      </c>
      <c r="G722" t="s">
        <v>912</v>
      </c>
      <c r="H722" t="s">
        <v>1317</v>
      </c>
      <c r="I722" t="s">
        <v>54</v>
      </c>
      <c r="J722" t="s">
        <v>1318</v>
      </c>
      <c r="K722" t="s">
        <v>56</v>
      </c>
      <c r="L722">
        <v>0</v>
      </c>
      <c r="M722" t="s">
        <v>73</v>
      </c>
      <c r="N722">
        <v>0</v>
      </c>
      <c r="O722" t="s">
        <v>58</v>
      </c>
      <c r="P722" t="s">
        <v>59</v>
      </c>
      <c r="Q722" t="s">
        <v>378</v>
      </c>
      <c r="R722" t="s">
        <v>1318</v>
      </c>
      <c r="S722" s="1">
        <v>44384</v>
      </c>
      <c r="T722" s="1">
        <v>44384</v>
      </c>
      <c r="U722">
        <v>37501</v>
      </c>
      <c r="V722" t="s">
        <v>61</v>
      </c>
      <c r="W722" t="s">
        <v>1319</v>
      </c>
      <c r="X722" s="1">
        <v>44385</v>
      </c>
      <c r="Y722" t="s">
        <v>100</v>
      </c>
      <c r="Z722">
        <v>307.76</v>
      </c>
      <c r="AA722">
        <v>16</v>
      </c>
      <c r="AB722">
        <v>49.24</v>
      </c>
      <c r="AC722">
        <v>35.700000000000003</v>
      </c>
      <c r="AD722">
        <v>392.7</v>
      </c>
      <c r="AE722">
        <v>392.7</v>
      </c>
      <c r="AF722">
        <v>545</v>
      </c>
      <c r="AG722" t="s">
        <v>1320</v>
      </c>
      <c r="AH722" t="s">
        <v>65</v>
      </c>
      <c r="AI722" t="s">
        <v>65</v>
      </c>
      <c r="AJ722" t="s">
        <v>66</v>
      </c>
      <c r="AK722" t="s">
        <v>66</v>
      </c>
      <c r="AL722" t="s">
        <v>66</v>
      </c>
      <c r="AM722" s="2" t="str">
        <f>HYPERLINK("https://transparencia.cidesi.mx/comprobantes/2021/CQ2100486 /C1FacturaFRP-174648.pdf")</f>
        <v>https://transparencia.cidesi.mx/comprobantes/2021/CQ2100486 /C1FacturaFRP-174648.pdf</v>
      </c>
      <c r="AN722" t="str">
        <f>HYPERLINK("https://transparencia.cidesi.mx/comprobantes/2021/CQ2100486 /C1FacturaFRP-174648.pdf")</f>
        <v>https://transparencia.cidesi.mx/comprobantes/2021/CQ2100486 /C1FacturaFRP-174648.pdf</v>
      </c>
      <c r="AO722" t="str">
        <f>HYPERLINK("https://transparencia.cidesi.mx/comprobantes/2021/CQ2100486 /C1FacturaFRP-174648.xml")</f>
        <v>https://transparencia.cidesi.mx/comprobantes/2021/CQ2100486 /C1FacturaFRP-174648.xml</v>
      </c>
      <c r="AP722" t="s">
        <v>1318</v>
      </c>
      <c r="AQ722" t="s">
        <v>1318</v>
      </c>
      <c r="AR722" t="s">
        <v>1321</v>
      </c>
      <c r="AS722" t="s">
        <v>1322</v>
      </c>
      <c r="AT722" s="1">
        <v>44389</v>
      </c>
      <c r="AU722" t="s">
        <v>73</v>
      </c>
    </row>
    <row r="723" spans="1:47" x14ac:dyDescent="0.3">
      <c r="A723" t="s">
        <v>47</v>
      </c>
      <c r="B723" t="s">
        <v>224</v>
      </c>
      <c r="C723" t="s">
        <v>225</v>
      </c>
      <c r="D723">
        <v>726</v>
      </c>
      <c r="E723" t="s">
        <v>1316</v>
      </c>
      <c r="F723" t="s">
        <v>1207</v>
      </c>
      <c r="G723" t="s">
        <v>912</v>
      </c>
      <c r="H723" t="s">
        <v>1323</v>
      </c>
      <c r="I723" t="s">
        <v>54</v>
      </c>
      <c r="J723" t="s">
        <v>1324</v>
      </c>
      <c r="K723" t="s">
        <v>56</v>
      </c>
      <c r="L723">
        <v>0</v>
      </c>
      <c r="M723" t="s">
        <v>73</v>
      </c>
      <c r="N723">
        <v>0</v>
      </c>
      <c r="O723" t="s">
        <v>58</v>
      </c>
      <c r="P723" t="s">
        <v>59</v>
      </c>
      <c r="Q723" t="s">
        <v>1284</v>
      </c>
      <c r="R723" t="s">
        <v>1324</v>
      </c>
      <c r="S723" s="1">
        <v>44406</v>
      </c>
      <c r="T723" s="1">
        <v>44406</v>
      </c>
      <c r="U723">
        <v>37501</v>
      </c>
      <c r="V723" t="s">
        <v>61</v>
      </c>
      <c r="W723" t="s">
        <v>1325</v>
      </c>
      <c r="X723" s="1">
        <v>44410</v>
      </c>
      <c r="Y723" t="s">
        <v>63</v>
      </c>
      <c r="Z723">
        <v>107.76</v>
      </c>
      <c r="AA723">
        <v>16</v>
      </c>
      <c r="AB723">
        <v>17.239999999999998</v>
      </c>
      <c r="AC723">
        <v>0</v>
      </c>
      <c r="AD723">
        <v>125</v>
      </c>
      <c r="AE723">
        <v>484.99</v>
      </c>
      <c r="AF723">
        <v>545</v>
      </c>
      <c r="AG723" t="s">
        <v>1320</v>
      </c>
      <c r="AH723" t="s">
        <v>65</v>
      </c>
      <c r="AI723" t="s">
        <v>65</v>
      </c>
      <c r="AJ723" t="s">
        <v>66</v>
      </c>
      <c r="AK723" t="s">
        <v>66</v>
      </c>
      <c r="AL723" t="s">
        <v>66</v>
      </c>
      <c r="AM723" s="2" t="str">
        <f>HYPERLINK("https://transparencia.cidesi.mx/comprobantes/2021/CQ2100589 /C169368331.pdf")</f>
        <v>https://transparencia.cidesi.mx/comprobantes/2021/CQ2100589 /C169368331.pdf</v>
      </c>
      <c r="AN723" t="str">
        <f>HYPERLINK("https://transparencia.cidesi.mx/comprobantes/2021/CQ2100589 /C169368331.pdf")</f>
        <v>https://transparencia.cidesi.mx/comprobantes/2021/CQ2100589 /C169368331.pdf</v>
      </c>
      <c r="AO723" t="str">
        <f>HYPERLINK("https://transparencia.cidesi.mx/comprobantes/2021/CQ2100589 /C169368331.xml")</f>
        <v>https://transparencia.cidesi.mx/comprobantes/2021/CQ2100589 /C169368331.xml</v>
      </c>
      <c r="AP723" t="s">
        <v>1324</v>
      </c>
      <c r="AQ723" t="s">
        <v>1324</v>
      </c>
      <c r="AR723" t="s">
        <v>425</v>
      </c>
      <c r="AS723" t="s">
        <v>1326</v>
      </c>
      <c r="AT723" s="1">
        <v>44412</v>
      </c>
      <c r="AU723" s="1">
        <v>44424</v>
      </c>
    </row>
    <row r="724" spans="1:47" x14ac:dyDescent="0.3">
      <c r="A724" t="s">
        <v>47</v>
      </c>
      <c r="B724" t="s">
        <v>224</v>
      </c>
      <c r="C724" t="s">
        <v>225</v>
      </c>
      <c r="D724">
        <v>726</v>
      </c>
      <c r="E724" t="s">
        <v>1316</v>
      </c>
      <c r="F724" t="s">
        <v>1207</v>
      </c>
      <c r="G724" t="s">
        <v>912</v>
      </c>
      <c r="H724" t="s">
        <v>1323</v>
      </c>
      <c r="I724" t="s">
        <v>54</v>
      </c>
      <c r="J724" t="s">
        <v>1324</v>
      </c>
      <c r="K724" t="s">
        <v>56</v>
      </c>
      <c r="L724">
        <v>0</v>
      </c>
      <c r="M724" t="s">
        <v>73</v>
      </c>
      <c r="N724">
        <v>0</v>
      </c>
      <c r="O724" t="s">
        <v>58</v>
      </c>
      <c r="P724" t="s">
        <v>59</v>
      </c>
      <c r="Q724" t="s">
        <v>1284</v>
      </c>
      <c r="R724" t="s">
        <v>1324</v>
      </c>
      <c r="S724" s="1">
        <v>44406</v>
      </c>
      <c r="T724" s="1">
        <v>44406</v>
      </c>
      <c r="U724">
        <v>37501</v>
      </c>
      <c r="V724" t="s">
        <v>61</v>
      </c>
      <c r="W724" t="s">
        <v>1325</v>
      </c>
      <c r="X724" s="1">
        <v>44410</v>
      </c>
      <c r="Y724" t="s">
        <v>63</v>
      </c>
      <c r="Z724">
        <v>310.33999999999997</v>
      </c>
      <c r="AA724">
        <v>16</v>
      </c>
      <c r="AB724">
        <v>49.65</v>
      </c>
      <c r="AC724">
        <v>0</v>
      </c>
      <c r="AD724">
        <v>359.99</v>
      </c>
      <c r="AE724">
        <v>484.99</v>
      </c>
      <c r="AF724">
        <v>545</v>
      </c>
      <c r="AG724" t="s">
        <v>1320</v>
      </c>
      <c r="AH724" t="s">
        <v>65</v>
      </c>
      <c r="AI724" t="s">
        <v>65</v>
      </c>
      <c r="AJ724" t="s">
        <v>66</v>
      </c>
      <c r="AK724" t="s">
        <v>66</v>
      </c>
      <c r="AL724" t="s">
        <v>66</v>
      </c>
      <c r="AM724" s="2" t="str">
        <f>HYPERLINK("https://transparencia.cidesi.mx/comprobantes/2021/CQ2100589 /C2FA-RN025562-AULG430317679.pdf")</f>
        <v>https://transparencia.cidesi.mx/comprobantes/2021/CQ2100589 /C2FA-RN025562-AULG430317679.pdf</v>
      </c>
      <c r="AN724" t="str">
        <f>HYPERLINK("https://transparencia.cidesi.mx/comprobantes/2021/CQ2100589 /C2FA-RN025562-AULG430317679.pdf")</f>
        <v>https://transparencia.cidesi.mx/comprobantes/2021/CQ2100589 /C2FA-RN025562-AULG430317679.pdf</v>
      </c>
      <c r="AO724" t="str">
        <f>HYPERLINK("https://transparencia.cidesi.mx/comprobantes/2021/CQ2100589 /C2FA-RN025562-AULG430317679.xml")</f>
        <v>https://transparencia.cidesi.mx/comprobantes/2021/CQ2100589 /C2FA-RN025562-AULG430317679.xml</v>
      </c>
      <c r="AP724" t="s">
        <v>1324</v>
      </c>
      <c r="AQ724" t="s">
        <v>1324</v>
      </c>
      <c r="AR724" t="s">
        <v>425</v>
      </c>
      <c r="AS724" t="s">
        <v>1326</v>
      </c>
      <c r="AT724" s="1">
        <v>44412</v>
      </c>
      <c r="AU724" s="1">
        <v>44424</v>
      </c>
    </row>
    <row r="725" spans="1:47" x14ac:dyDescent="0.3">
      <c r="A725" t="s">
        <v>47</v>
      </c>
      <c r="B725" t="s">
        <v>224</v>
      </c>
      <c r="C725" t="s">
        <v>225</v>
      </c>
      <c r="D725">
        <v>726</v>
      </c>
      <c r="E725" t="s">
        <v>1316</v>
      </c>
      <c r="F725" t="s">
        <v>1207</v>
      </c>
      <c r="G725" t="s">
        <v>912</v>
      </c>
      <c r="H725" t="s">
        <v>1327</v>
      </c>
      <c r="I725" t="s">
        <v>54</v>
      </c>
      <c r="J725" t="s">
        <v>1328</v>
      </c>
      <c r="K725" t="s">
        <v>56</v>
      </c>
      <c r="L725">
        <v>0</v>
      </c>
      <c r="M725" t="s">
        <v>73</v>
      </c>
      <c r="N725">
        <v>0</v>
      </c>
      <c r="O725" t="s">
        <v>58</v>
      </c>
      <c r="P725" t="s">
        <v>59</v>
      </c>
      <c r="Q725" t="s">
        <v>252</v>
      </c>
      <c r="R725" t="s">
        <v>1328</v>
      </c>
      <c r="S725" s="1">
        <v>44448</v>
      </c>
      <c r="T725" s="1">
        <v>44448</v>
      </c>
      <c r="U725">
        <v>37501</v>
      </c>
      <c r="V725" t="s">
        <v>61</v>
      </c>
      <c r="W725" t="s">
        <v>1329</v>
      </c>
      <c r="X725" s="1">
        <v>44452</v>
      </c>
      <c r="Y725" t="s">
        <v>63</v>
      </c>
      <c r="Z725">
        <v>36.74</v>
      </c>
      <c r="AA725">
        <v>16</v>
      </c>
      <c r="AB725">
        <v>2.76</v>
      </c>
      <c r="AC725">
        <v>0</v>
      </c>
      <c r="AD725">
        <v>39.5</v>
      </c>
      <c r="AE725">
        <v>485.5</v>
      </c>
      <c r="AF725">
        <v>545</v>
      </c>
      <c r="AG725" t="s">
        <v>1320</v>
      </c>
      <c r="AH725" t="s">
        <v>65</v>
      </c>
      <c r="AI725" t="s">
        <v>65</v>
      </c>
      <c r="AJ725" t="s">
        <v>66</v>
      </c>
      <c r="AK725" t="s">
        <v>66</v>
      </c>
      <c r="AL725" t="s">
        <v>66</v>
      </c>
      <c r="AM725" s="2" t="str">
        <f>HYPERLINK("https://transparencia.cidesi.mx/comprobantes/2021/CQ2100789 /C1FACTURA_1631282722135_344332133.pdf")</f>
        <v>https://transparencia.cidesi.mx/comprobantes/2021/CQ2100789 /C1FACTURA_1631282722135_344332133.pdf</v>
      </c>
      <c r="AN725" t="str">
        <f>HYPERLINK("https://transparencia.cidesi.mx/comprobantes/2021/CQ2100789 /C1FACTURA_1631282722135_344332133.pdf")</f>
        <v>https://transparencia.cidesi.mx/comprobantes/2021/CQ2100789 /C1FACTURA_1631282722135_344332133.pdf</v>
      </c>
      <c r="AO725" t="str">
        <f>HYPERLINK("https://transparencia.cidesi.mx/comprobantes/2021/CQ2100789 /C1FACTURA_1631282722135_344332133.xml")</f>
        <v>https://transparencia.cidesi.mx/comprobantes/2021/CQ2100789 /C1FACTURA_1631282722135_344332133.xml</v>
      </c>
      <c r="AP725" t="s">
        <v>1328</v>
      </c>
      <c r="AQ725" t="s">
        <v>1328</v>
      </c>
      <c r="AR725" t="s">
        <v>425</v>
      </c>
      <c r="AS725" t="s">
        <v>1330</v>
      </c>
      <c r="AT725" s="1">
        <v>44456</v>
      </c>
      <c r="AU725" s="1">
        <v>44470</v>
      </c>
    </row>
    <row r="726" spans="1:47" x14ac:dyDescent="0.3">
      <c r="A726" t="s">
        <v>47</v>
      </c>
      <c r="B726" t="s">
        <v>224</v>
      </c>
      <c r="C726" t="s">
        <v>225</v>
      </c>
      <c r="D726">
        <v>726</v>
      </c>
      <c r="E726" t="s">
        <v>1316</v>
      </c>
      <c r="F726" t="s">
        <v>1207</v>
      </c>
      <c r="G726" t="s">
        <v>912</v>
      </c>
      <c r="H726" t="s">
        <v>1327</v>
      </c>
      <c r="I726" t="s">
        <v>54</v>
      </c>
      <c r="J726" t="s">
        <v>1328</v>
      </c>
      <c r="K726" t="s">
        <v>56</v>
      </c>
      <c r="L726">
        <v>0</v>
      </c>
      <c r="M726" t="s">
        <v>73</v>
      </c>
      <c r="N726">
        <v>0</v>
      </c>
      <c r="O726" t="s">
        <v>58</v>
      </c>
      <c r="P726" t="s">
        <v>59</v>
      </c>
      <c r="Q726" t="s">
        <v>252</v>
      </c>
      <c r="R726" t="s">
        <v>1328</v>
      </c>
      <c r="S726" s="1">
        <v>44448</v>
      </c>
      <c r="T726" s="1">
        <v>44448</v>
      </c>
      <c r="U726">
        <v>37501</v>
      </c>
      <c r="V726" t="s">
        <v>61</v>
      </c>
      <c r="W726" t="s">
        <v>1329</v>
      </c>
      <c r="X726" s="1">
        <v>44452</v>
      </c>
      <c r="Y726" t="s">
        <v>63</v>
      </c>
      <c r="Z726">
        <v>384.48</v>
      </c>
      <c r="AA726">
        <v>16</v>
      </c>
      <c r="AB726">
        <v>61.52</v>
      </c>
      <c r="AC726">
        <v>0</v>
      </c>
      <c r="AD726">
        <v>446</v>
      </c>
      <c r="AE726">
        <v>485.5</v>
      </c>
      <c r="AF726">
        <v>545</v>
      </c>
      <c r="AG726" t="s">
        <v>1320</v>
      </c>
      <c r="AH726" t="s">
        <v>65</v>
      </c>
      <c r="AI726" t="s">
        <v>65</v>
      </c>
      <c r="AJ726" t="s">
        <v>66</v>
      </c>
      <c r="AK726" t="s">
        <v>66</v>
      </c>
      <c r="AL726" t="s">
        <v>66</v>
      </c>
      <c r="AM726" s="2" t="str">
        <f>HYPERLINK("https://transparencia.cidesi.mx/comprobantes/2021/CQ2100789 /C2CID840309UG7FF0000006356.pdf")</f>
        <v>https://transparencia.cidesi.mx/comprobantes/2021/CQ2100789 /C2CID840309UG7FF0000006356.pdf</v>
      </c>
      <c r="AN726" t="str">
        <f>HYPERLINK("https://transparencia.cidesi.mx/comprobantes/2021/CQ2100789 /C2CID840309UG7FF0000006356.pdf")</f>
        <v>https://transparencia.cidesi.mx/comprobantes/2021/CQ2100789 /C2CID840309UG7FF0000006356.pdf</v>
      </c>
      <c r="AO726" t="str">
        <f>HYPERLINK("https://transparencia.cidesi.mx/comprobantes/2021/CQ2100789 /C2CID840309UG7FF0000006356.xml")</f>
        <v>https://transparencia.cidesi.mx/comprobantes/2021/CQ2100789 /C2CID840309UG7FF0000006356.xml</v>
      </c>
      <c r="AP726" t="s">
        <v>1328</v>
      </c>
      <c r="AQ726" t="s">
        <v>1328</v>
      </c>
      <c r="AR726" t="s">
        <v>425</v>
      </c>
      <c r="AS726" t="s">
        <v>1330</v>
      </c>
      <c r="AT726" s="1">
        <v>44456</v>
      </c>
      <c r="AU726" s="1">
        <v>44470</v>
      </c>
    </row>
    <row r="727" spans="1:47" x14ac:dyDescent="0.3">
      <c r="A727" t="s">
        <v>47</v>
      </c>
      <c r="B727" t="s">
        <v>224</v>
      </c>
      <c r="C727" t="s">
        <v>225</v>
      </c>
      <c r="D727">
        <v>726</v>
      </c>
      <c r="E727" t="s">
        <v>1316</v>
      </c>
      <c r="F727" t="s">
        <v>1207</v>
      </c>
      <c r="G727" t="s">
        <v>912</v>
      </c>
      <c r="H727" t="s">
        <v>1331</v>
      </c>
      <c r="I727" t="s">
        <v>54</v>
      </c>
      <c r="J727" t="s">
        <v>1332</v>
      </c>
      <c r="K727" t="s">
        <v>56</v>
      </c>
      <c r="L727">
        <v>0</v>
      </c>
      <c r="M727" t="s">
        <v>73</v>
      </c>
      <c r="N727">
        <v>0</v>
      </c>
      <c r="O727" t="s">
        <v>58</v>
      </c>
      <c r="P727" t="s">
        <v>59</v>
      </c>
      <c r="Q727" t="s">
        <v>1284</v>
      </c>
      <c r="R727" t="s">
        <v>1332</v>
      </c>
      <c r="S727" s="1">
        <v>44456</v>
      </c>
      <c r="T727" s="1">
        <v>44456</v>
      </c>
      <c r="U727">
        <v>37501</v>
      </c>
      <c r="V727" t="s">
        <v>61</v>
      </c>
      <c r="W727" t="s">
        <v>1333</v>
      </c>
      <c r="X727" s="1">
        <v>44459</v>
      </c>
      <c r="Y727" t="s">
        <v>63</v>
      </c>
      <c r="Z727">
        <v>31.24</v>
      </c>
      <c r="AA727">
        <v>16</v>
      </c>
      <c r="AB727">
        <v>2.76</v>
      </c>
      <c r="AC727">
        <v>0</v>
      </c>
      <c r="AD727">
        <v>34</v>
      </c>
      <c r="AE727">
        <v>506</v>
      </c>
      <c r="AF727">
        <v>545</v>
      </c>
      <c r="AG727" t="s">
        <v>1320</v>
      </c>
      <c r="AH727" t="s">
        <v>65</v>
      </c>
      <c r="AI727" t="s">
        <v>65</v>
      </c>
      <c r="AJ727" t="s">
        <v>66</v>
      </c>
      <c r="AK727" t="s">
        <v>66</v>
      </c>
      <c r="AL727" t="s">
        <v>66</v>
      </c>
      <c r="AM727" s="2" t="str">
        <f>HYPERLINK("https://transparencia.cidesi.mx/comprobantes/2021/CQ2100823 /C1FACTURA_1632140651485_345185545.pdf")</f>
        <v>https://transparencia.cidesi.mx/comprobantes/2021/CQ2100823 /C1FACTURA_1632140651485_345185545.pdf</v>
      </c>
      <c r="AN727" t="str">
        <f>HYPERLINK("https://transparencia.cidesi.mx/comprobantes/2021/CQ2100823 /C1FACTURA_1632140651485_345185545.pdf")</f>
        <v>https://transparencia.cidesi.mx/comprobantes/2021/CQ2100823 /C1FACTURA_1632140651485_345185545.pdf</v>
      </c>
      <c r="AO727" t="str">
        <f>HYPERLINK("https://transparencia.cidesi.mx/comprobantes/2021/CQ2100823 /C1FACTURA_1632140651485_345185545.xml")</f>
        <v>https://transparencia.cidesi.mx/comprobantes/2021/CQ2100823 /C1FACTURA_1632140651485_345185545.xml</v>
      </c>
      <c r="AP727" t="s">
        <v>1332</v>
      </c>
      <c r="AQ727" t="s">
        <v>1332</v>
      </c>
      <c r="AR727" t="s">
        <v>1334</v>
      </c>
      <c r="AS727" t="s">
        <v>1335</v>
      </c>
      <c r="AT727" s="1">
        <v>44461</v>
      </c>
      <c r="AU727" s="1">
        <v>44470</v>
      </c>
    </row>
    <row r="728" spans="1:47" x14ac:dyDescent="0.3">
      <c r="A728" t="s">
        <v>47</v>
      </c>
      <c r="B728" t="s">
        <v>224</v>
      </c>
      <c r="C728" t="s">
        <v>225</v>
      </c>
      <c r="D728">
        <v>726</v>
      </c>
      <c r="E728" t="s">
        <v>1316</v>
      </c>
      <c r="F728" t="s">
        <v>1207</v>
      </c>
      <c r="G728" t="s">
        <v>912</v>
      </c>
      <c r="H728" t="s">
        <v>1331</v>
      </c>
      <c r="I728" t="s">
        <v>54</v>
      </c>
      <c r="J728" t="s">
        <v>1332</v>
      </c>
      <c r="K728" t="s">
        <v>56</v>
      </c>
      <c r="L728">
        <v>0</v>
      </c>
      <c r="M728" t="s">
        <v>73</v>
      </c>
      <c r="N728">
        <v>0</v>
      </c>
      <c r="O728" t="s">
        <v>58</v>
      </c>
      <c r="P728" t="s">
        <v>59</v>
      </c>
      <c r="Q728" t="s">
        <v>1284</v>
      </c>
      <c r="R728" t="s">
        <v>1332</v>
      </c>
      <c r="S728" s="1">
        <v>44456</v>
      </c>
      <c r="T728" s="1">
        <v>44456</v>
      </c>
      <c r="U728">
        <v>37501</v>
      </c>
      <c r="V728" t="s">
        <v>61</v>
      </c>
      <c r="W728" t="s">
        <v>1333</v>
      </c>
      <c r="X728" s="1">
        <v>44459</v>
      </c>
      <c r="Y728" t="s">
        <v>63</v>
      </c>
      <c r="Z728">
        <v>406.9</v>
      </c>
      <c r="AA728">
        <v>16</v>
      </c>
      <c r="AB728">
        <v>65.099999999999994</v>
      </c>
      <c r="AC728">
        <v>0</v>
      </c>
      <c r="AD728">
        <v>472</v>
      </c>
      <c r="AE728">
        <v>506</v>
      </c>
      <c r="AF728">
        <v>545</v>
      </c>
      <c r="AG728" t="s">
        <v>1320</v>
      </c>
      <c r="AH728" t="s">
        <v>65</v>
      </c>
      <c r="AI728" t="s">
        <v>65</v>
      </c>
      <c r="AJ728" t="s">
        <v>66</v>
      </c>
      <c r="AK728" t="s">
        <v>66</v>
      </c>
      <c r="AL728" t="s">
        <v>66</v>
      </c>
      <c r="AM728" s="2" t="str">
        <f>HYPERLINK("https://transparencia.cidesi.mx/comprobantes/2021/CQ2100823 /C2CID840309UG7FF0000006410.pdf")</f>
        <v>https://transparencia.cidesi.mx/comprobantes/2021/CQ2100823 /C2CID840309UG7FF0000006410.pdf</v>
      </c>
      <c r="AN728" t="str">
        <f>HYPERLINK("https://transparencia.cidesi.mx/comprobantes/2021/CQ2100823 /C2CID840309UG7FF0000006410.pdf")</f>
        <v>https://transparencia.cidesi.mx/comprobantes/2021/CQ2100823 /C2CID840309UG7FF0000006410.pdf</v>
      </c>
      <c r="AO728" t="str">
        <f>HYPERLINK("https://transparencia.cidesi.mx/comprobantes/2021/CQ2100823 /C2CID840309UG7FF0000006410.xml")</f>
        <v>https://transparencia.cidesi.mx/comprobantes/2021/CQ2100823 /C2CID840309UG7FF0000006410.xml</v>
      </c>
      <c r="AP728" t="s">
        <v>1332</v>
      </c>
      <c r="AQ728" t="s">
        <v>1332</v>
      </c>
      <c r="AR728" t="s">
        <v>1334</v>
      </c>
      <c r="AS728" t="s">
        <v>1335</v>
      </c>
      <c r="AT728" s="1">
        <v>44461</v>
      </c>
      <c r="AU728" s="1">
        <v>44470</v>
      </c>
    </row>
    <row r="729" spans="1:47" x14ac:dyDescent="0.3">
      <c r="A729" t="s">
        <v>47</v>
      </c>
      <c r="B729" t="s">
        <v>224</v>
      </c>
      <c r="C729" t="s">
        <v>225</v>
      </c>
      <c r="D729">
        <v>726</v>
      </c>
      <c r="E729" t="s">
        <v>1316</v>
      </c>
      <c r="F729" t="s">
        <v>1207</v>
      </c>
      <c r="G729" t="s">
        <v>912</v>
      </c>
      <c r="H729" t="s">
        <v>1336</v>
      </c>
      <c r="I729" t="s">
        <v>54</v>
      </c>
      <c r="J729" t="s">
        <v>1337</v>
      </c>
      <c r="K729" t="s">
        <v>56</v>
      </c>
      <c r="L729">
        <v>0</v>
      </c>
      <c r="M729" t="s">
        <v>73</v>
      </c>
      <c r="N729">
        <v>0</v>
      </c>
      <c r="O729" t="s">
        <v>58</v>
      </c>
      <c r="P729" t="s">
        <v>59</v>
      </c>
      <c r="Q729" t="s">
        <v>1284</v>
      </c>
      <c r="R729" t="s">
        <v>1337</v>
      </c>
      <c r="S729" s="1">
        <v>44459</v>
      </c>
      <c r="T729" s="1">
        <v>44459</v>
      </c>
      <c r="U729">
        <v>37501</v>
      </c>
      <c r="V729" t="s">
        <v>61</v>
      </c>
      <c r="W729" t="s">
        <v>1338</v>
      </c>
      <c r="X729" s="1">
        <v>44460</v>
      </c>
      <c r="Y729" t="s">
        <v>63</v>
      </c>
      <c r="Z729">
        <v>338.79</v>
      </c>
      <c r="AA729">
        <v>16</v>
      </c>
      <c r="AB729">
        <v>54.21</v>
      </c>
      <c r="AC729">
        <v>39</v>
      </c>
      <c r="AD729">
        <v>432</v>
      </c>
      <c r="AE729">
        <v>432</v>
      </c>
      <c r="AF729">
        <v>545</v>
      </c>
      <c r="AG729" t="s">
        <v>1320</v>
      </c>
      <c r="AH729" t="s">
        <v>65</v>
      </c>
      <c r="AI729" t="s">
        <v>65</v>
      </c>
      <c r="AJ729" t="s">
        <v>66</v>
      </c>
      <c r="AK729" t="s">
        <v>66</v>
      </c>
      <c r="AL729" t="s">
        <v>66</v>
      </c>
      <c r="AM729" s="2" t="str">
        <f>HYPERLINK("https://transparencia.cidesi.mx/comprobantes/2021/CQ2100842 /C1GEX0108298K9FB0000091511.pdf")</f>
        <v>https://transparencia.cidesi.mx/comprobantes/2021/CQ2100842 /C1GEX0108298K9FB0000091511.pdf</v>
      </c>
      <c r="AN729" t="str">
        <f>HYPERLINK("https://transparencia.cidesi.mx/comprobantes/2021/CQ2100842 /C1GEX0108298K9FB0000091511.pdf")</f>
        <v>https://transparencia.cidesi.mx/comprobantes/2021/CQ2100842 /C1GEX0108298K9FB0000091511.pdf</v>
      </c>
      <c r="AO729" t="str">
        <f>HYPERLINK("https://transparencia.cidesi.mx/comprobantes/2021/CQ2100842 /C1GEX0108298K9FB0000091511.xml")</f>
        <v>https://transparencia.cidesi.mx/comprobantes/2021/CQ2100842 /C1GEX0108298K9FB0000091511.xml</v>
      </c>
      <c r="AP729" t="s">
        <v>1337</v>
      </c>
      <c r="AQ729" t="s">
        <v>1337</v>
      </c>
      <c r="AR729" t="s">
        <v>1339</v>
      </c>
      <c r="AS729" t="s">
        <v>1340</v>
      </c>
      <c r="AT729" s="1">
        <v>44461</v>
      </c>
      <c r="AU729" s="1">
        <v>44470</v>
      </c>
    </row>
    <row r="730" spans="1:47" x14ac:dyDescent="0.3">
      <c r="A730" t="s">
        <v>47</v>
      </c>
      <c r="B730" t="s">
        <v>224</v>
      </c>
      <c r="C730" t="s">
        <v>225</v>
      </c>
      <c r="D730">
        <v>726</v>
      </c>
      <c r="E730" t="s">
        <v>1316</v>
      </c>
      <c r="F730" t="s">
        <v>1207</v>
      </c>
      <c r="G730" t="s">
        <v>912</v>
      </c>
      <c r="H730" t="s">
        <v>1341</v>
      </c>
      <c r="I730" t="s">
        <v>54</v>
      </c>
      <c r="J730" t="s">
        <v>1342</v>
      </c>
      <c r="K730" t="s">
        <v>56</v>
      </c>
      <c r="L730">
        <v>0</v>
      </c>
      <c r="M730" t="s">
        <v>73</v>
      </c>
      <c r="N730">
        <v>0</v>
      </c>
      <c r="O730" t="s">
        <v>58</v>
      </c>
      <c r="P730" t="s">
        <v>59</v>
      </c>
      <c r="Q730" t="s">
        <v>1284</v>
      </c>
      <c r="R730" t="s">
        <v>1342</v>
      </c>
      <c r="S730" s="1">
        <v>44460</v>
      </c>
      <c r="T730" s="1">
        <v>44460</v>
      </c>
      <c r="U730">
        <v>37501</v>
      </c>
      <c r="V730" t="s">
        <v>61</v>
      </c>
      <c r="W730" t="s">
        <v>1343</v>
      </c>
      <c r="X730" s="1">
        <v>44461</v>
      </c>
      <c r="Y730" t="s">
        <v>63</v>
      </c>
      <c r="Z730">
        <v>351.72</v>
      </c>
      <c r="AA730">
        <v>16</v>
      </c>
      <c r="AB730">
        <v>56.28</v>
      </c>
      <c r="AC730">
        <v>0</v>
      </c>
      <c r="AD730">
        <v>408</v>
      </c>
      <c r="AE730">
        <v>477</v>
      </c>
      <c r="AF730">
        <v>545</v>
      </c>
      <c r="AG730" t="s">
        <v>1320</v>
      </c>
      <c r="AH730" t="s">
        <v>65</v>
      </c>
      <c r="AI730" t="s">
        <v>65</v>
      </c>
      <c r="AJ730" t="s">
        <v>66</v>
      </c>
      <c r="AK730" t="s">
        <v>66</v>
      </c>
      <c r="AL730" t="s">
        <v>66</v>
      </c>
      <c r="AM730" s="2" t="str">
        <f>HYPERLINK("https://transparencia.cidesi.mx/comprobantes/2021/CQ2100859 /C1RUFM731208CB3FFM3977.pdf")</f>
        <v>https://transparencia.cidesi.mx/comprobantes/2021/CQ2100859 /C1RUFM731208CB3FFM3977.pdf</v>
      </c>
      <c r="AN730" t="str">
        <f>HYPERLINK("https://transparencia.cidesi.mx/comprobantes/2021/CQ2100859 /C1RUFM731208CB3FFM3977.pdf")</f>
        <v>https://transparencia.cidesi.mx/comprobantes/2021/CQ2100859 /C1RUFM731208CB3FFM3977.pdf</v>
      </c>
      <c r="AO730" t="str">
        <f>HYPERLINK("https://transparencia.cidesi.mx/comprobantes/2021/CQ2100859 /C1RUFM731208CB3FFM3977.xml")</f>
        <v>https://transparencia.cidesi.mx/comprobantes/2021/CQ2100859 /C1RUFM731208CB3FFM3977.xml</v>
      </c>
      <c r="AP730" t="s">
        <v>1342</v>
      </c>
      <c r="AQ730" t="s">
        <v>1342</v>
      </c>
      <c r="AR730" t="s">
        <v>425</v>
      </c>
      <c r="AS730" t="s">
        <v>1344</v>
      </c>
      <c r="AT730" s="1">
        <v>44461</v>
      </c>
      <c r="AU730" s="1">
        <v>44470</v>
      </c>
    </row>
    <row r="731" spans="1:47" x14ac:dyDescent="0.3">
      <c r="A731" t="s">
        <v>47</v>
      </c>
      <c r="B731" t="s">
        <v>224</v>
      </c>
      <c r="C731" t="s">
        <v>225</v>
      </c>
      <c r="D731">
        <v>726</v>
      </c>
      <c r="E731" t="s">
        <v>1316</v>
      </c>
      <c r="F731" t="s">
        <v>1207</v>
      </c>
      <c r="G731" t="s">
        <v>912</v>
      </c>
      <c r="H731" t="s">
        <v>1341</v>
      </c>
      <c r="I731" t="s">
        <v>54</v>
      </c>
      <c r="J731" t="s">
        <v>1342</v>
      </c>
      <c r="K731" t="s">
        <v>56</v>
      </c>
      <c r="L731">
        <v>0</v>
      </c>
      <c r="M731" t="s">
        <v>73</v>
      </c>
      <c r="N731">
        <v>0</v>
      </c>
      <c r="O731" t="s">
        <v>58</v>
      </c>
      <c r="P731" t="s">
        <v>59</v>
      </c>
      <c r="Q731" t="s">
        <v>1284</v>
      </c>
      <c r="R731" t="s">
        <v>1342</v>
      </c>
      <c r="S731" s="1">
        <v>44460</v>
      </c>
      <c r="T731" s="1">
        <v>44460</v>
      </c>
      <c r="U731">
        <v>37501</v>
      </c>
      <c r="V731" t="s">
        <v>61</v>
      </c>
      <c r="W731" t="s">
        <v>1343</v>
      </c>
      <c r="X731" s="1">
        <v>44461</v>
      </c>
      <c r="Y731" t="s">
        <v>63</v>
      </c>
      <c r="Z731">
        <v>59.48</v>
      </c>
      <c r="AA731">
        <v>16</v>
      </c>
      <c r="AB731">
        <v>9.52</v>
      </c>
      <c r="AC731">
        <v>0</v>
      </c>
      <c r="AD731">
        <v>69</v>
      </c>
      <c r="AE731">
        <v>477</v>
      </c>
      <c r="AF731">
        <v>545</v>
      </c>
      <c r="AG731" t="s">
        <v>1320</v>
      </c>
      <c r="AH731" t="s">
        <v>65</v>
      </c>
      <c r="AI731" t="s">
        <v>65</v>
      </c>
      <c r="AJ731" t="s">
        <v>66</v>
      </c>
      <c r="AK731" t="s">
        <v>66</v>
      </c>
      <c r="AL731" t="s">
        <v>66</v>
      </c>
      <c r="AM731" s="2" t="str">
        <f>HYPERLINK("https://transparencia.cidesi.mx/comprobantes/2021/CQ2100859 /C2FACTURA_1632317672658_345468047.pdf")</f>
        <v>https://transparencia.cidesi.mx/comprobantes/2021/CQ2100859 /C2FACTURA_1632317672658_345468047.pdf</v>
      </c>
      <c r="AN731" t="str">
        <f>HYPERLINK("https://transparencia.cidesi.mx/comprobantes/2021/CQ2100859 /C2FACTURA_1632317672658_345468047.pdf")</f>
        <v>https://transparencia.cidesi.mx/comprobantes/2021/CQ2100859 /C2FACTURA_1632317672658_345468047.pdf</v>
      </c>
      <c r="AO731" t="str">
        <f>HYPERLINK("https://transparencia.cidesi.mx/comprobantes/2021/CQ2100859 /C2FACTURA_1632317672658_345468047.xml")</f>
        <v>https://transparencia.cidesi.mx/comprobantes/2021/CQ2100859 /C2FACTURA_1632317672658_345468047.xml</v>
      </c>
      <c r="AP731" t="s">
        <v>1342</v>
      </c>
      <c r="AQ731" t="s">
        <v>1342</v>
      </c>
      <c r="AR731" t="s">
        <v>425</v>
      </c>
      <c r="AS731" t="s">
        <v>1344</v>
      </c>
      <c r="AT731" s="1">
        <v>44461</v>
      </c>
      <c r="AU731" s="1">
        <v>44470</v>
      </c>
    </row>
    <row r="732" spans="1:47" x14ac:dyDescent="0.3">
      <c r="A732" t="s">
        <v>47</v>
      </c>
      <c r="B732" t="s">
        <v>224</v>
      </c>
      <c r="C732" t="s">
        <v>225</v>
      </c>
      <c r="D732">
        <v>726</v>
      </c>
      <c r="E732" t="s">
        <v>1316</v>
      </c>
      <c r="F732" t="s">
        <v>1207</v>
      </c>
      <c r="G732" t="s">
        <v>912</v>
      </c>
      <c r="H732" t="s">
        <v>1345</v>
      </c>
      <c r="I732" t="s">
        <v>54</v>
      </c>
      <c r="J732" t="s">
        <v>1346</v>
      </c>
      <c r="K732" t="s">
        <v>56</v>
      </c>
      <c r="L732">
        <v>0</v>
      </c>
      <c r="M732" t="s">
        <v>73</v>
      </c>
      <c r="N732">
        <v>0</v>
      </c>
      <c r="O732" t="s">
        <v>58</v>
      </c>
      <c r="P732" t="s">
        <v>59</v>
      </c>
      <c r="Q732" t="s">
        <v>590</v>
      </c>
      <c r="R732" t="s">
        <v>1346</v>
      </c>
      <c r="S732" s="1">
        <v>44461</v>
      </c>
      <c r="T732" s="1">
        <v>44462</v>
      </c>
      <c r="U732">
        <v>37501</v>
      </c>
      <c r="V732" t="s">
        <v>61</v>
      </c>
      <c r="W732" t="s">
        <v>1347</v>
      </c>
      <c r="X732" s="1">
        <v>44463</v>
      </c>
      <c r="Y732" t="s">
        <v>63</v>
      </c>
      <c r="Z732">
        <v>344.83</v>
      </c>
      <c r="AA732">
        <v>16</v>
      </c>
      <c r="AB732">
        <v>55.17</v>
      </c>
      <c r="AC732">
        <v>40</v>
      </c>
      <c r="AD732">
        <v>440</v>
      </c>
      <c r="AE732">
        <v>1619</v>
      </c>
      <c r="AF732">
        <v>1636</v>
      </c>
      <c r="AG732" t="s">
        <v>1320</v>
      </c>
      <c r="AH732" t="s">
        <v>65</v>
      </c>
      <c r="AI732" t="s">
        <v>65</v>
      </c>
      <c r="AJ732" t="s">
        <v>66</v>
      </c>
      <c r="AK732" t="s">
        <v>66</v>
      </c>
      <c r="AL732" t="s">
        <v>66</v>
      </c>
      <c r="AM732" s="2" t="str">
        <f>HYPERLINK("https://transparencia.cidesi.mx/comprobantes/2021/CQ2100879 /C1HEGE610809JR4_Factura__3072_39D2391A-0A5C-464D-9967-05590921381C.pdf")</f>
        <v>https://transparencia.cidesi.mx/comprobantes/2021/CQ2100879 /C1HEGE610809JR4_Factura__3072_39D2391A-0A5C-464D-9967-05590921381C.pdf</v>
      </c>
      <c r="AN732" t="str">
        <f>HYPERLINK("https://transparencia.cidesi.mx/comprobantes/2021/CQ2100879 /C1HEGE610809JR4_Factura__3072_39D2391A-0A5C-464D-9967-05590921381C.pdf")</f>
        <v>https://transparencia.cidesi.mx/comprobantes/2021/CQ2100879 /C1HEGE610809JR4_Factura__3072_39D2391A-0A5C-464D-9967-05590921381C.pdf</v>
      </c>
      <c r="AO732" t="str">
        <f>HYPERLINK("https://transparencia.cidesi.mx/comprobantes/2021/CQ2100879 /C1HEGE610809JR4_Factura__3072_39D2391A-0A5C-464D-9967-05590921381C.xml")</f>
        <v>https://transparencia.cidesi.mx/comprobantes/2021/CQ2100879 /C1HEGE610809JR4_Factura__3072_39D2391A-0A5C-464D-9967-05590921381C.xml</v>
      </c>
      <c r="AP732" t="s">
        <v>1348</v>
      </c>
      <c r="AQ732" t="s">
        <v>1348</v>
      </c>
      <c r="AR732" t="s">
        <v>1349</v>
      </c>
      <c r="AS732" t="s">
        <v>1350</v>
      </c>
      <c r="AT732" s="1">
        <v>44468</v>
      </c>
      <c r="AU732" s="1">
        <v>44470</v>
      </c>
    </row>
    <row r="733" spans="1:47" x14ac:dyDescent="0.3">
      <c r="A733" t="s">
        <v>47</v>
      </c>
      <c r="B733" t="s">
        <v>224</v>
      </c>
      <c r="C733" t="s">
        <v>225</v>
      </c>
      <c r="D733">
        <v>726</v>
      </c>
      <c r="E733" t="s">
        <v>1316</v>
      </c>
      <c r="F733" t="s">
        <v>1207</v>
      </c>
      <c r="G733" t="s">
        <v>912</v>
      </c>
      <c r="H733" t="s">
        <v>1345</v>
      </c>
      <c r="I733" t="s">
        <v>54</v>
      </c>
      <c r="J733" t="s">
        <v>1346</v>
      </c>
      <c r="K733" t="s">
        <v>56</v>
      </c>
      <c r="L733">
        <v>0</v>
      </c>
      <c r="M733" t="s">
        <v>73</v>
      </c>
      <c r="N733">
        <v>0</v>
      </c>
      <c r="O733" t="s">
        <v>58</v>
      </c>
      <c r="P733" t="s">
        <v>59</v>
      </c>
      <c r="Q733" t="s">
        <v>590</v>
      </c>
      <c r="R733" t="s">
        <v>1346</v>
      </c>
      <c r="S733" s="1">
        <v>44461</v>
      </c>
      <c r="T733" s="1">
        <v>44462</v>
      </c>
      <c r="U733">
        <v>37501</v>
      </c>
      <c r="V733" t="s">
        <v>104</v>
      </c>
      <c r="W733" t="s">
        <v>1347</v>
      </c>
      <c r="X733" s="1">
        <v>44463</v>
      </c>
      <c r="Y733" t="s">
        <v>63</v>
      </c>
      <c r="Z733">
        <v>410.59</v>
      </c>
      <c r="AA733">
        <v>16</v>
      </c>
      <c r="AB733">
        <v>64.41</v>
      </c>
      <c r="AC733">
        <v>0</v>
      </c>
      <c r="AD733">
        <v>475</v>
      </c>
      <c r="AE733">
        <v>1619</v>
      </c>
      <c r="AF733">
        <v>1636</v>
      </c>
      <c r="AG733" t="s">
        <v>1351</v>
      </c>
      <c r="AH733" t="s">
        <v>65</v>
      </c>
      <c r="AI733" t="s">
        <v>65</v>
      </c>
      <c r="AJ733" t="s">
        <v>66</v>
      </c>
      <c r="AK733" t="s">
        <v>66</v>
      </c>
      <c r="AL733" t="s">
        <v>66</v>
      </c>
      <c r="AM733" s="2" t="str">
        <f>HYPERLINK("https://transparencia.cidesi.mx/comprobantes/2021/CQ2100879 /C2HHO191128C47_Factura__1856_A9E6D6B7-2188-4C75-9327-D7FDFDE9BC03.pdf")</f>
        <v>https://transparencia.cidesi.mx/comprobantes/2021/CQ2100879 /C2HHO191128C47_Factura__1856_A9E6D6B7-2188-4C75-9327-D7FDFDE9BC03.pdf</v>
      </c>
      <c r="AN733" t="str">
        <f>HYPERLINK("https://transparencia.cidesi.mx/comprobantes/2021/CQ2100879 /C2HHO191128C47_Factura__1856_A9E6D6B7-2188-4C75-9327-D7FDFDE9BC03.pdf")</f>
        <v>https://transparencia.cidesi.mx/comprobantes/2021/CQ2100879 /C2HHO191128C47_Factura__1856_A9E6D6B7-2188-4C75-9327-D7FDFDE9BC03.pdf</v>
      </c>
      <c r="AO733" t="str">
        <f>HYPERLINK("https://transparencia.cidesi.mx/comprobantes/2021/CQ2100879 /C2HHO191128C47_Factura__1856_A9E6D6B7-2188-4C75-9327-D7FDFDE9BC03.xml")</f>
        <v>https://transparencia.cidesi.mx/comprobantes/2021/CQ2100879 /C2HHO191128C47_Factura__1856_A9E6D6B7-2188-4C75-9327-D7FDFDE9BC03.xml</v>
      </c>
      <c r="AP733" t="s">
        <v>1348</v>
      </c>
      <c r="AQ733" t="s">
        <v>1348</v>
      </c>
      <c r="AR733" t="s">
        <v>1349</v>
      </c>
      <c r="AS733" t="s">
        <v>1350</v>
      </c>
      <c r="AT733" s="1">
        <v>44468</v>
      </c>
      <c r="AU733" s="1">
        <v>44470</v>
      </c>
    </row>
    <row r="734" spans="1:47" x14ac:dyDescent="0.3">
      <c r="A734" t="s">
        <v>47</v>
      </c>
      <c r="B734" t="s">
        <v>224</v>
      </c>
      <c r="C734" t="s">
        <v>225</v>
      </c>
      <c r="D734">
        <v>726</v>
      </c>
      <c r="E734" t="s">
        <v>1316</v>
      </c>
      <c r="F734" t="s">
        <v>1207</v>
      </c>
      <c r="G734" t="s">
        <v>912</v>
      </c>
      <c r="H734" t="s">
        <v>1345</v>
      </c>
      <c r="I734" t="s">
        <v>54</v>
      </c>
      <c r="J734" t="s">
        <v>1346</v>
      </c>
      <c r="K734" t="s">
        <v>56</v>
      </c>
      <c r="L734">
        <v>0</v>
      </c>
      <c r="M734" t="s">
        <v>73</v>
      </c>
      <c r="N734">
        <v>0</v>
      </c>
      <c r="O734" t="s">
        <v>58</v>
      </c>
      <c r="P734" t="s">
        <v>59</v>
      </c>
      <c r="Q734" t="s">
        <v>590</v>
      </c>
      <c r="R734" t="s">
        <v>1346</v>
      </c>
      <c r="S734" s="1">
        <v>44461</v>
      </c>
      <c r="T734" s="1">
        <v>44462</v>
      </c>
      <c r="U734">
        <v>37501</v>
      </c>
      <c r="V734" t="s">
        <v>61</v>
      </c>
      <c r="W734" t="s">
        <v>1347</v>
      </c>
      <c r="X734" s="1">
        <v>44463</v>
      </c>
      <c r="Y734" t="s">
        <v>63</v>
      </c>
      <c r="Z734">
        <v>352.59</v>
      </c>
      <c r="AA734">
        <v>16</v>
      </c>
      <c r="AB734">
        <v>56.41</v>
      </c>
      <c r="AC734">
        <v>0</v>
      </c>
      <c r="AD734">
        <v>409</v>
      </c>
      <c r="AE734">
        <v>1619</v>
      </c>
      <c r="AF734">
        <v>1636</v>
      </c>
      <c r="AG734" t="s">
        <v>1320</v>
      </c>
      <c r="AH734" t="s">
        <v>65</v>
      </c>
      <c r="AI734" t="s">
        <v>65</v>
      </c>
      <c r="AJ734" t="s">
        <v>66</v>
      </c>
      <c r="AK734" t="s">
        <v>66</v>
      </c>
      <c r="AL734" t="s">
        <v>66</v>
      </c>
      <c r="AM734" s="2" t="str">
        <f>HYPERLINK("https://transparencia.cidesi.mx/comprobantes/2021/CQ2100879 /C3F0000098244.pdf")</f>
        <v>https://transparencia.cidesi.mx/comprobantes/2021/CQ2100879 /C3F0000098244.pdf</v>
      </c>
      <c r="AN734" t="str">
        <f>HYPERLINK("https://transparencia.cidesi.mx/comprobantes/2021/CQ2100879 /C3F0000098244.pdf")</f>
        <v>https://transparencia.cidesi.mx/comprobantes/2021/CQ2100879 /C3F0000098244.pdf</v>
      </c>
      <c r="AO734" t="str">
        <f>HYPERLINK("https://transparencia.cidesi.mx/comprobantes/2021/CQ2100879 /C3F0000098244.xml")</f>
        <v>https://transparencia.cidesi.mx/comprobantes/2021/CQ2100879 /C3F0000098244.xml</v>
      </c>
      <c r="AP734" t="s">
        <v>1348</v>
      </c>
      <c r="AQ734" t="s">
        <v>1348</v>
      </c>
      <c r="AR734" t="s">
        <v>1349</v>
      </c>
      <c r="AS734" t="s">
        <v>1350</v>
      </c>
      <c r="AT734" s="1">
        <v>44468</v>
      </c>
      <c r="AU734" s="1">
        <v>44470</v>
      </c>
    </row>
    <row r="735" spans="1:47" x14ac:dyDescent="0.3">
      <c r="A735" t="s">
        <v>47</v>
      </c>
      <c r="B735" t="s">
        <v>224</v>
      </c>
      <c r="C735" t="s">
        <v>225</v>
      </c>
      <c r="D735">
        <v>726</v>
      </c>
      <c r="E735" t="s">
        <v>1316</v>
      </c>
      <c r="F735" t="s">
        <v>1207</v>
      </c>
      <c r="G735" t="s">
        <v>912</v>
      </c>
      <c r="H735" t="s">
        <v>1345</v>
      </c>
      <c r="I735" t="s">
        <v>54</v>
      </c>
      <c r="J735" t="s">
        <v>1346</v>
      </c>
      <c r="K735" t="s">
        <v>56</v>
      </c>
      <c r="L735">
        <v>0</v>
      </c>
      <c r="M735" t="s">
        <v>73</v>
      </c>
      <c r="N735">
        <v>0</v>
      </c>
      <c r="O735" t="s">
        <v>58</v>
      </c>
      <c r="P735" t="s">
        <v>59</v>
      </c>
      <c r="Q735" t="s">
        <v>590</v>
      </c>
      <c r="R735" t="s">
        <v>1346</v>
      </c>
      <c r="S735" s="1">
        <v>44461</v>
      </c>
      <c r="T735" s="1">
        <v>44462</v>
      </c>
      <c r="U735">
        <v>37501</v>
      </c>
      <c r="V735" t="s">
        <v>61</v>
      </c>
      <c r="W735" t="s">
        <v>1347</v>
      </c>
      <c r="X735" s="1">
        <v>44463</v>
      </c>
      <c r="Y735" t="s">
        <v>63</v>
      </c>
      <c r="Z735">
        <v>269.48</v>
      </c>
      <c r="AA735">
        <v>16</v>
      </c>
      <c r="AB735">
        <v>25.52</v>
      </c>
      <c r="AC735">
        <v>0</v>
      </c>
      <c r="AD735">
        <v>295</v>
      </c>
      <c r="AE735">
        <v>1619</v>
      </c>
      <c r="AF735">
        <v>1636</v>
      </c>
      <c r="AG735" t="s">
        <v>1320</v>
      </c>
      <c r="AH735" t="s">
        <v>65</v>
      </c>
      <c r="AI735" t="s">
        <v>65</v>
      </c>
      <c r="AJ735" t="s">
        <v>66</v>
      </c>
      <c r="AK735" t="s">
        <v>66</v>
      </c>
      <c r="AL735" t="s">
        <v>66</v>
      </c>
      <c r="AM735" s="2" t="str">
        <f>HYPERLINK("https://transparencia.cidesi.mx/comprobantes/2021/CQ2100879 /C4D__AutoFactura_2433_Comprobantes_fc72563HU.pdf")</f>
        <v>https://transparencia.cidesi.mx/comprobantes/2021/CQ2100879 /C4D__AutoFactura_2433_Comprobantes_fc72563HU.pdf</v>
      </c>
      <c r="AN735" t="str">
        <f>HYPERLINK("https://transparencia.cidesi.mx/comprobantes/2021/CQ2100879 /C4D__AutoFactura_2433_Comprobantes_fc72563HU.pdf")</f>
        <v>https://transparencia.cidesi.mx/comprobantes/2021/CQ2100879 /C4D__AutoFactura_2433_Comprobantes_fc72563HU.pdf</v>
      </c>
      <c r="AO735" t="str">
        <f>HYPERLINK("https://transparencia.cidesi.mx/comprobantes/2021/CQ2100879 /C4D__AutoFactura_2433_Comprobantes_72563HU_xml.xml")</f>
        <v>https://transparencia.cidesi.mx/comprobantes/2021/CQ2100879 /C4D__AutoFactura_2433_Comprobantes_72563HU_xml.xml</v>
      </c>
      <c r="AP735" t="s">
        <v>1348</v>
      </c>
      <c r="AQ735" t="s">
        <v>1348</v>
      </c>
      <c r="AR735" t="s">
        <v>1349</v>
      </c>
      <c r="AS735" t="s">
        <v>1350</v>
      </c>
      <c r="AT735" s="1">
        <v>44468</v>
      </c>
      <c r="AU735" s="1">
        <v>44470</v>
      </c>
    </row>
    <row r="736" spans="1:47" x14ac:dyDescent="0.3">
      <c r="A736" t="s">
        <v>47</v>
      </c>
      <c r="B736" t="s">
        <v>48</v>
      </c>
      <c r="C736" t="s">
        <v>392</v>
      </c>
      <c r="D736">
        <v>728</v>
      </c>
      <c r="E736" t="s">
        <v>1352</v>
      </c>
      <c r="F736" t="s">
        <v>840</v>
      </c>
      <c r="G736" t="s">
        <v>1353</v>
      </c>
      <c r="H736" t="s">
        <v>1354</v>
      </c>
      <c r="I736" t="s">
        <v>54</v>
      </c>
      <c r="J736" t="s">
        <v>1355</v>
      </c>
      <c r="K736" t="s">
        <v>56</v>
      </c>
      <c r="L736">
        <v>0</v>
      </c>
      <c r="M736" t="s">
        <v>73</v>
      </c>
      <c r="N736">
        <v>0</v>
      </c>
      <c r="O736" t="s">
        <v>58</v>
      </c>
      <c r="P736" t="s">
        <v>59</v>
      </c>
      <c r="Q736" t="s">
        <v>60</v>
      </c>
      <c r="R736" t="s">
        <v>1355</v>
      </c>
      <c r="S736" s="1">
        <v>44407</v>
      </c>
      <c r="T736" s="1">
        <v>44407</v>
      </c>
      <c r="U736">
        <v>37501</v>
      </c>
      <c r="V736" t="s">
        <v>61</v>
      </c>
      <c r="W736" t="s">
        <v>1356</v>
      </c>
      <c r="X736" s="1">
        <v>44414</v>
      </c>
      <c r="Y736" t="s">
        <v>63</v>
      </c>
      <c r="Z736">
        <v>457.8</v>
      </c>
      <c r="AA736">
        <v>16</v>
      </c>
      <c r="AB736">
        <v>87.2</v>
      </c>
      <c r="AC736">
        <v>0</v>
      </c>
      <c r="AD736">
        <v>545</v>
      </c>
      <c r="AE736">
        <v>545</v>
      </c>
      <c r="AF736">
        <v>545</v>
      </c>
      <c r="AG736" t="s">
        <v>1357</v>
      </c>
      <c r="AH736" t="s">
        <v>65</v>
      </c>
      <c r="AI736" t="s">
        <v>65</v>
      </c>
      <c r="AJ736" t="s">
        <v>66</v>
      </c>
      <c r="AK736" t="s">
        <v>66</v>
      </c>
      <c r="AL736" t="s">
        <v>66</v>
      </c>
      <c r="AM736" s="2" t="str">
        <f>HYPERLINK("https://transparencia.cidesi.mx/comprobantes/2021/CQ2100614 /C169498866 584.pdf")</f>
        <v>https://transparencia.cidesi.mx/comprobantes/2021/CQ2100614 /C169498866 584.pdf</v>
      </c>
      <c r="AN736" t="str">
        <f>HYPERLINK("https://transparencia.cidesi.mx/comprobantes/2021/CQ2100614 /C169498866 584.pdf")</f>
        <v>https://transparencia.cidesi.mx/comprobantes/2021/CQ2100614 /C169498866 584.pdf</v>
      </c>
      <c r="AO736" t="str">
        <f>HYPERLINK("https://transparencia.cidesi.mx/comprobantes/2021/CQ2100614 /C169498866.xml")</f>
        <v>https://transparencia.cidesi.mx/comprobantes/2021/CQ2100614 /C169498866.xml</v>
      </c>
      <c r="AP736" t="s">
        <v>1358</v>
      </c>
      <c r="AQ736" t="s">
        <v>1359</v>
      </c>
      <c r="AR736" t="s">
        <v>1360</v>
      </c>
      <c r="AS736" t="s">
        <v>1360</v>
      </c>
      <c r="AT736" s="1">
        <v>44417</v>
      </c>
      <c r="AU736" s="1">
        <v>44424</v>
      </c>
    </row>
    <row r="737" spans="1:47" x14ac:dyDescent="0.3">
      <c r="A737" t="s">
        <v>47</v>
      </c>
      <c r="B737" t="s">
        <v>48</v>
      </c>
      <c r="C737" t="s">
        <v>392</v>
      </c>
      <c r="D737">
        <v>728</v>
      </c>
      <c r="E737" t="s">
        <v>1352</v>
      </c>
      <c r="F737" t="s">
        <v>840</v>
      </c>
      <c r="G737" t="s">
        <v>1353</v>
      </c>
      <c r="H737" t="s">
        <v>1361</v>
      </c>
      <c r="I737" t="s">
        <v>54</v>
      </c>
      <c r="J737" t="s">
        <v>575</v>
      </c>
      <c r="K737" t="s">
        <v>56</v>
      </c>
      <c r="L737">
        <v>0</v>
      </c>
      <c r="M737" t="s">
        <v>73</v>
      </c>
      <c r="N737">
        <v>0</v>
      </c>
      <c r="O737" t="s">
        <v>58</v>
      </c>
      <c r="P737" t="s">
        <v>59</v>
      </c>
      <c r="Q737" t="s">
        <v>576</v>
      </c>
      <c r="R737" t="s">
        <v>575</v>
      </c>
      <c r="S737" s="1">
        <v>44443</v>
      </c>
      <c r="T737" s="1">
        <v>44444</v>
      </c>
      <c r="U737">
        <v>37602</v>
      </c>
      <c r="V737" t="s">
        <v>1362</v>
      </c>
      <c r="W737" t="s">
        <v>1363</v>
      </c>
      <c r="X737" s="1">
        <v>44452</v>
      </c>
      <c r="Y737" t="s">
        <v>63</v>
      </c>
      <c r="Z737">
        <v>0.01</v>
      </c>
      <c r="AA737">
        <v>16</v>
      </c>
      <c r="AB737">
        <v>0.01</v>
      </c>
      <c r="AC737">
        <v>0</v>
      </c>
      <c r="AD737">
        <v>0.02</v>
      </c>
      <c r="AE737">
        <v>0.02</v>
      </c>
      <c r="AF737">
        <v>1636</v>
      </c>
      <c r="AG737" t="s">
        <v>1364</v>
      </c>
      <c r="AH737" t="s">
        <v>66</v>
      </c>
      <c r="AI737" t="s">
        <v>66</v>
      </c>
      <c r="AJ737" t="s">
        <v>66</v>
      </c>
      <c r="AK737" t="s">
        <v>66</v>
      </c>
      <c r="AL737" t="s">
        <v>66</v>
      </c>
      <c r="AM737" s="2" t="s">
        <v>73</v>
      </c>
      <c r="AN737" t="s">
        <v>73</v>
      </c>
      <c r="AO737" t="s">
        <v>73</v>
      </c>
      <c r="AP737" t="s">
        <v>1365</v>
      </c>
      <c r="AQ737" t="s">
        <v>1366</v>
      </c>
      <c r="AR737" t="s">
        <v>1367</v>
      </c>
      <c r="AS737" t="s">
        <v>1366</v>
      </c>
      <c r="AT737" s="1">
        <v>44452</v>
      </c>
      <c r="AU737" s="1">
        <v>44467</v>
      </c>
    </row>
    <row r="738" spans="1:47" x14ac:dyDescent="0.3">
      <c r="A738" t="s">
        <v>47</v>
      </c>
      <c r="B738" t="s">
        <v>48</v>
      </c>
      <c r="C738" t="s">
        <v>392</v>
      </c>
      <c r="D738">
        <v>728</v>
      </c>
      <c r="E738" t="s">
        <v>1352</v>
      </c>
      <c r="F738" t="s">
        <v>840</v>
      </c>
      <c r="G738" t="s">
        <v>1353</v>
      </c>
      <c r="H738" t="s">
        <v>1368</v>
      </c>
      <c r="I738" t="s">
        <v>54</v>
      </c>
      <c r="J738" t="s">
        <v>1369</v>
      </c>
      <c r="K738" t="s">
        <v>56</v>
      </c>
      <c r="L738">
        <v>0</v>
      </c>
      <c r="M738" t="s">
        <v>73</v>
      </c>
      <c r="N738">
        <v>0</v>
      </c>
      <c r="O738" t="s">
        <v>58</v>
      </c>
      <c r="P738" t="s">
        <v>59</v>
      </c>
      <c r="Q738" t="s">
        <v>60</v>
      </c>
      <c r="R738" t="s">
        <v>1369</v>
      </c>
      <c r="S738" s="1">
        <v>44449</v>
      </c>
      <c r="T738" s="1">
        <v>44449</v>
      </c>
      <c r="U738">
        <v>37501</v>
      </c>
      <c r="V738" t="s">
        <v>61</v>
      </c>
      <c r="W738" t="s">
        <v>1370</v>
      </c>
      <c r="X738" s="1">
        <v>44460</v>
      </c>
      <c r="Y738" t="s">
        <v>63</v>
      </c>
      <c r="Z738">
        <v>366.37</v>
      </c>
      <c r="AA738">
        <v>16</v>
      </c>
      <c r="AB738">
        <v>58.62</v>
      </c>
      <c r="AC738">
        <v>0</v>
      </c>
      <c r="AD738">
        <v>424.99</v>
      </c>
      <c r="AE738">
        <v>424.99</v>
      </c>
      <c r="AF738">
        <v>545</v>
      </c>
      <c r="AG738" t="s">
        <v>1357</v>
      </c>
      <c r="AH738" t="s">
        <v>65</v>
      </c>
      <c r="AI738" t="s">
        <v>65</v>
      </c>
      <c r="AJ738" t="s">
        <v>66</v>
      </c>
      <c r="AK738" t="s">
        <v>66</v>
      </c>
      <c r="AL738" t="s">
        <v>66</v>
      </c>
      <c r="AM738" s="2" t="str">
        <f>HYPERLINK("https://transparencia.cidesi.mx/comprobantes/2021/CQ2100849 /C1AAIR691009E82FF32 425.pdf")</f>
        <v>https://transparencia.cidesi.mx/comprobantes/2021/CQ2100849 /C1AAIR691009E82FF32 425.pdf</v>
      </c>
      <c r="AN738" t="str">
        <f>HYPERLINK("https://transparencia.cidesi.mx/comprobantes/2021/CQ2100849 /C1AAIR691009E82FF32 425.pdf")</f>
        <v>https://transparencia.cidesi.mx/comprobantes/2021/CQ2100849 /C1AAIR691009E82FF32 425.pdf</v>
      </c>
      <c r="AO738" t="str">
        <f>HYPERLINK("https://transparencia.cidesi.mx/comprobantes/2021/CQ2100849 /C1AAIR691009E82FF32.xml")</f>
        <v>https://transparencia.cidesi.mx/comprobantes/2021/CQ2100849 /C1AAIR691009E82FF32.xml</v>
      </c>
      <c r="AP738" t="s">
        <v>1371</v>
      </c>
      <c r="AQ738" t="s">
        <v>1372</v>
      </c>
      <c r="AR738" t="s">
        <v>1360</v>
      </c>
      <c r="AS738" t="s">
        <v>1360</v>
      </c>
      <c r="AT738" s="1">
        <v>44460</v>
      </c>
      <c r="AU738" s="1">
        <v>44470</v>
      </c>
    </row>
    <row r="739" spans="1:47" x14ac:dyDescent="0.3">
      <c r="A739" t="s">
        <v>246</v>
      </c>
      <c r="B739" t="s">
        <v>182</v>
      </c>
      <c r="C739" t="s">
        <v>183</v>
      </c>
      <c r="D739">
        <v>734</v>
      </c>
      <c r="E739" t="s">
        <v>1373</v>
      </c>
      <c r="F739" t="s">
        <v>912</v>
      </c>
      <c r="G739" t="s">
        <v>457</v>
      </c>
      <c r="H739" t="s">
        <v>1374</v>
      </c>
      <c r="I739" t="s">
        <v>54</v>
      </c>
      <c r="J739" t="s">
        <v>1375</v>
      </c>
      <c r="K739" t="s">
        <v>56</v>
      </c>
      <c r="L739">
        <v>0</v>
      </c>
      <c r="M739" t="s">
        <v>73</v>
      </c>
      <c r="N739">
        <v>0</v>
      </c>
      <c r="O739" t="s">
        <v>58</v>
      </c>
      <c r="P739" t="s">
        <v>59</v>
      </c>
      <c r="Q739" t="s">
        <v>60</v>
      </c>
      <c r="R739" t="s">
        <v>1375</v>
      </c>
      <c r="S739" s="1">
        <v>44405</v>
      </c>
      <c r="T739" s="1">
        <v>44406</v>
      </c>
      <c r="U739">
        <v>37501</v>
      </c>
      <c r="V739" t="s">
        <v>104</v>
      </c>
      <c r="W739" t="s">
        <v>1376</v>
      </c>
      <c r="X739" s="1">
        <v>44411</v>
      </c>
      <c r="Y739" t="s">
        <v>63</v>
      </c>
      <c r="Z739">
        <v>714.51</v>
      </c>
      <c r="AA739">
        <v>16</v>
      </c>
      <c r="AB739">
        <v>114.32</v>
      </c>
      <c r="AC739">
        <v>25.01</v>
      </c>
      <c r="AD739">
        <v>853.84</v>
      </c>
      <c r="AE739">
        <v>853.84</v>
      </c>
      <c r="AF739">
        <v>1636</v>
      </c>
      <c r="AG739" t="s">
        <v>1377</v>
      </c>
      <c r="AH739" t="s">
        <v>65</v>
      </c>
      <c r="AI739" t="s">
        <v>65</v>
      </c>
      <c r="AJ739" t="s">
        <v>66</v>
      </c>
      <c r="AK739" t="s">
        <v>66</v>
      </c>
      <c r="AL739" t="s">
        <v>66</v>
      </c>
      <c r="AM739" s="2" t="str">
        <f>HYPERLINK("https://transparencia.cidesi.mx/comprobantes/2021/CQ2100598 /C112223962.pdf")</f>
        <v>https://transparencia.cidesi.mx/comprobantes/2021/CQ2100598 /C112223962.pdf</v>
      </c>
      <c r="AN739" t="str">
        <f>HYPERLINK("https://transparencia.cidesi.mx/comprobantes/2021/CQ2100598 /C112223962.pdf")</f>
        <v>https://transparencia.cidesi.mx/comprobantes/2021/CQ2100598 /C112223962.pdf</v>
      </c>
      <c r="AO739" t="str">
        <f>HYPERLINK("https://transparencia.cidesi.mx/comprobantes/2021/CQ2100598 /C112223962_timbrado.xml")</f>
        <v>https://transparencia.cidesi.mx/comprobantes/2021/CQ2100598 /C112223962_timbrado.xml</v>
      </c>
      <c r="AP739" t="s">
        <v>1378</v>
      </c>
      <c r="AQ739" t="s">
        <v>1379</v>
      </c>
      <c r="AR739" t="s">
        <v>1380</v>
      </c>
      <c r="AS739" t="s">
        <v>1381</v>
      </c>
      <c r="AT739" s="1">
        <v>44414</v>
      </c>
      <c r="AU739" s="1">
        <v>44425</v>
      </c>
    </row>
    <row r="740" spans="1:47" x14ac:dyDescent="0.3">
      <c r="A740" t="s">
        <v>246</v>
      </c>
      <c r="B740" t="s">
        <v>182</v>
      </c>
      <c r="C740" t="s">
        <v>183</v>
      </c>
      <c r="D740">
        <v>734</v>
      </c>
      <c r="E740" t="s">
        <v>1373</v>
      </c>
      <c r="F740" t="s">
        <v>912</v>
      </c>
      <c r="G740" t="s">
        <v>457</v>
      </c>
      <c r="H740" t="s">
        <v>1382</v>
      </c>
      <c r="I740" t="s">
        <v>54</v>
      </c>
      <c r="J740" t="s">
        <v>1383</v>
      </c>
      <c r="K740" t="s">
        <v>56</v>
      </c>
      <c r="L740">
        <v>0</v>
      </c>
      <c r="M740" t="s">
        <v>73</v>
      </c>
      <c r="N740">
        <v>0</v>
      </c>
      <c r="O740" t="s">
        <v>58</v>
      </c>
      <c r="P740" t="s">
        <v>59</v>
      </c>
      <c r="Q740" t="s">
        <v>314</v>
      </c>
      <c r="R740" t="s">
        <v>1383</v>
      </c>
      <c r="S740" s="1">
        <v>44425</v>
      </c>
      <c r="T740" s="1">
        <v>44425</v>
      </c>
      <c r="U740">
        <v>37501</v>
      </c>
      <c r="V740" t="s">
        <v>61</v>
      </c>
      <c r="W740" t="s">
        <v>1384</v>
      </c>
      <c r="X740" s="1">
        <v>44428</v>
      </c>
      <c r="Y740" t="s">
        <v>63</v>
      </c>
      <c r="Z740">
        <v>399.13</v>
      </c>
      <c r="AA740">
        <v>16</v>
      </c>
      <c r="AB740">
        <v>63.86</v>
      </c>
      <c r="AC740">
        <v>46.31</v>
      </c>
      <c r="AD740">
        <v>509.3</v>
      </c>
      <c r="AE740">
        <v>509.3</v>
      </c>
      <c r="AF740">
        <v>545</v>
      </c>
      <c r="AG740" t="s">
        <v>1385</v>
      </c>
      <c r="AH740" t="s">
        <v>65</v>
      </c>
      <c r="AI740" t="s">
        <v>65</v>
      </c>
      <c r="AJ740" t="s">
        <v>66</v>
      </c>
      <c r="AK740" t="s">
        <v>66</v>
      </c>
      <c r="AL740" t="s">
        <v>66</v>
      </c>
      <c r="AM740" s="2" t="str">
        <f>HYPERLINK("https://transparencia.cidesi.mx/comprobantes/2021/CQ2100671 /C1fc55838F.pdf")</f>
        <v>https://transparencia.cidesi.mx/comprobantes/2021/CQ2100671 /C1fc55838F.pdf</v>
      </c>
      <c r="AN740" t="str">
        <f>HYPERLINK("https://transparencia.cidesi.mx/comprobantes/2021/CQ2100671 /C1fc55838F.pdf")</f>
        <v>https://transparencia.cidesi.mx/comprobantes/2021/CQ2100671 /C1fc55838F.pdf</v>
      </c>
      <c r="AO740" t="str">
        <f>HYPERLINK("https://transparencia.cidesi.mx/comprobantes/2021/CQ2100671 /C155838F_xml.xml")</f>
        <v>https://transparencia.cidesi.mx/comprobantes/2021/CQ2100671 /C155838F_xml.xml</v>
      </c>
      <c r="AP740" t="s">
        <v>1386</v>
      </c>
      <c r="AQ740" t="s">
        <v>1387</v>
      </c>
      <c r="AR740" t="s">
        <v>1388</v>
      </c>
      <c r="AS740" t="s">
        <v>1389</v>
      </c>
      <c r="AT740" s="1">
        <v>44428</v>
      </c>
      <c r="AU740" s="1">
        <v>44432</v>
      </c>
    </row>
    <row r="741" spans="1:47" x14ac:dyDescent="0.3">
      <c r="A741" t="s">
        <v>246</v>
      </c>
      <c r="B741" t="s">
        <v>182</v>
      </c>
      <c r="C741" t="s">
        <v>183</v>
      </c>
      <c r="D741">
        <v>734</v>
      </c>
      <c r="E741" t="s">
        <v>1373</v>
      </c>
      <c r="F741" t="s">
        <v>912</v>
      </c>
      <c r="G741" t="s">
        <v>457</v>
      </c>
      <c r="H741" t="s">
        <v>1390</v>
      </c>
      <c r="I741" t="s">
        <v>54</v>
      </c>
      <c r="J741" t="s">
        <v>1391</v>
      </c>
      <c r="K741" t="s">
        <v>56</v>
      </c>
      <c r="L741">
        <v>0</v>
      </c>
      <c r="M741" t="s">
        <v>73</v>
      </c>
      <c r="N741">
        <v>0</v>
      </c>
      <c r="O741" t="s">
        <v>58</v>
      </c>
      <c r="P741" t="s">
        <v>59</v>
      </c>
      <c r="Q741" t="s">
        <v>314</v>
      </c>
      <c r="R741" t="s">
        <v>1391</v>
      </c>
      <c r="S741" s="1">
        <v>44454</v>
      </c>
      <c r="T741" s="1">
        <v>44454</v>
      </c>
      <c r="U741">
        <v>37501</v>
      </c>
      <c r="V741" t="s">
        <v>61</v>
      </c>
      <c r="W741" t="s">
        <v>1392</v>
      </c>
      <c r="X741" s="1">
        <v>44456</v>
      </c>
      <c r="Y741" t="s">
        <v>63</v>
      </c>
      <c r="Z741">
        <v>139.96</v>
      </c>
      <c r="AA741">
        <v>16</v>
      </c>
      <c r="AB741">
        <v>5.66</v>
      </c>
      <c r="AC741">
        <v>8.3800000000000008</v>
      </c>
      <c r="AD741">
        <v>154</v>
      </c>
      <c r="AE741">
        <v>534.01</v>
      </c>
      <c r="AF741">
        <v>545</v>
      </c>
      <c r="AG741" t="s">
        <v>1385</v>
      </c>
      <c r="AH741" t="s">
        <v>65</v>
      </c>
      <c r="AI741" t="s">
        <v>65</v>
      </c>
      <c r="AJ741" t="s">
        <v>66</v>
      </c>
      <c r="AK741" t="s">
        <v>66</v>
      </c>
      <c r="AL741" t="s">
        <v>66</v>
      </c>
      <c r="AM741" s="2" t="str">
        <f>HYPERLINK("https://transparencia.cidesi.mx/comprobantes/2021/CQ2100820 /C1OXXOFACTURA_1631888920812_344951103.pdf")</f>
        <v>https://transparencia.cidesi.mx/comprobantes/2021/CQ2100820 /C1OXXOFACTURA_1631888920812_344951103.pdf</v>
      </c>
      <c r="AN741" t="str">
        <f>HYPERLINK("https://transparencia.cidesi.mx/comprobantes/2021/CQ2100820 /C1OXXOFACTURA_1631888920812_344951103.pdf")</f>
        <v>https://transparencia.cidesi.mx/comprobantes/2021/CQ2100820 /C1OXXOFACTURA_1631888920812_344951103.pdf</v>
      </c>
      <c r="AO741" t="str">
        <f>HYPERLINK("https://transparencia.cidesi.mx/comprobantes/2021/CQ2100820 /C1OXXOFACTURA_1631888930381_344951103.xml")</f>
        <v>https://transparencia.cidesi.mx/comprobantes/2021/CQ2100820 /C1OXXOFACTURA_1631888930381_344951103.xml</v>
      </c>
      <c r="AP741" t="s">
        <v>1393</v>
      </c>
      <c r="AQ741" t="s">
        <v>1394</v>
      </c>
      <c r="AR741" t="s">
        <v>1395</v>
      </c>
      <c r="AS741" t="s">
        <v>1396</v>
      </c>
      <c r="AT741" s="1">
        <v>44459</v>
      </c>
      <c r="AU741" s="1">
        <v>44470</v>
      </c>
    </row>
    <row r="742" spans="1:47" x14ac:dyDescent="0.3">
      <c r="A742" t="s">
        <v>246</v>
      </c>
      <c r="B742" t="s">
        <v>182</v>
      </c>
      <c r="C742" t="s">
        <v>183</v>
      </c>
      <c r="D742">
        <v>734</v>
      </c>
      <c r="E742" t="s">
        <v>1373</v>
      </c>
      <c r="F742" t="s">
        <v>912</v>
      </c>
      <c r="G742" t="s">
        <v>457</v>
      </c>
      <c r="H742" t="s">
        <v>1390</v>
      </c>
      <c r="I742" t="s">
        <v>54</v>
      </c>
      <c r="J742" t="s">
        <v>1391</v>
      </c>
      <c r="K742" t="s">
        <v>56</v>
      </c>
      <c r="L742">
        <v>0</v>
      </c>
      <c r="M742" t="s">
        <v>73</v>
      </c>
      <c r="N742">
        <v>0</v>
      </c>
      <c r="O742" t="s">
        <v>58</v>
      </c>
      <c r="P742" t="s">
        <v>59</v>
      </c>
      <c r="Q742" t="s">
        <v>314</v>
      </c>
      <c r="R742" t="s">
        <v>1391</v>
      </c>
      <c r="S742" s="1">
        <v>44454</v>
      </c>
      <c r="T742" s="1">
        <v>44454</v>
      </c>
      <c r="U742">
        <v>37501</v>
      </c>
      <c r="V742" t="s">
        <v>61</v>
      </c>
      <c r="W742" t="s">
        <v>1392</v>
      </c>
      <c r="X742" s="1">
        <v>44456</v>
      </c>
      <c r="Y742" t="s">
        <v>63</v>
      </c>
      <c r="Z742">
        <v>327.58999999999997</v>
      </c>
      <c r="AA742">
        <v>16</v>
      </c>
      <c r="AB742">
        <v>52.42</v>
      </c>
      <c r="AC742">
        <v>0</v>
      </c>
      <c r="AD742">
        <v>380.01</v>
      </c>
      <c r="AE742">
        <v>534.01</v>
      </c>
      <c r="AF742">
        <v>545</v>
      </c>
      <c r="AG742" t="s">
        <v>1385</v>
      </c>
      <c r="AH742" t="s">
        <v>65</v>
      </c>
      <c r="AI742" t="s">
        <v>65</v>
      </c>
      <c r="AJ742" t="s">
        <v>66</v>
      </c>
      <c r="AK742" t="s">
        <v>66</v>
      </c>
      <c r="AL742" t="s">
        <v>66</v>
      </c>
      <c r="AM742" s="2" t="str">
        <f>HYPERLINK("https://transparencia.cidesi.mx/comprobantes/2021/CQ2100820 /C2fc56142F.pdf")</f>
        <v>https://transparencia.cidesi.mx/comprobantes/2021/CQ2100820 /C2fc56142F.pdf</v>
      </c>
      <c r="AN742" t="str">
        <f>HYPERLINK("https://transparencia.cidesi.mx/comprobantes/2021/CQ2100820 /C2fc56142F.pdf")</f>
        <v>https://transparencia.cidesi.mx/comprobantes/2021/CQ2100820 /C2fc56142F.pdf</v>
      </c>
      <c r="AO742" t="str">
        <f>HYPERLINK("https://transparencia.cidesi.mx/comprobantes/2021/CQ2100820 /C256142F_xml.xml")</f>
        <v>https://transparencia.cidesi.mx/comprobantes/2021/CQ2100820 /C256142F_xml.xml</v>
      </c>
      <c r="AP742" t="s">
        <v>1393</v>
      </c>
      <c r="AQ742" t="s">
        <v>1394</v>
      </c>
      <c r="AR742" t="s">
        <v>1395</v>
      </c>
      <c r="AS742" t="s">
        <v>1396</v>
      </c>
      <c r="AT742" s="1">
        <v>44459</v>
      </c>
      <c r="AU742" s="1">
        <v>44470</v>
      </c>
    </row>
    <row r="743" spans="1:47" x14ac:dyDescent="0.3">
      <c r="A743" t="s">
        <v>47</v>
      </c>
      <c r="B743" t="s">
        <v>224</v>
      </c>
      <c r="C743" t="s">
        <v>372</v>
      </c>
      <c r="D743">
        <v>739</v>
      </c>
      <c r="E743" t="s">
        <v>1397</v>
      </c>
      <c r="F743" t="s">
        <v>692</v>
      </c>
      <c r="G743" t="s">
        <v>1398</v>
      </c>
      <c r="H743" t="s">
        <v>1399</v>
      </c>
      <c r="I743" t="s">
        <v>54</v>
      </c>
      <c r="J743" t="s">
        <v>1400</v>
      </c>
      <c r="K743" t="s">
        <v>56</v>
      </c>
      <c r="L743">
        <v>0</v>
      </c>
      <c r="M743" t="s">
        <v>73</v>
      </c>
      <c r="N743">
        <v>0</v>
      </c>
      <c r="O743" t="s">
        <v>58</v>
      </c>
      <c r="P743" t="s">
        <v>59</v>
      </c>
      <c r="Q743" t="s">
        <v>378</v>
      </c>
      <c r="R743" t="s">
        <v>1400</v>
      </c>
      <c r="S743" s="1">
        <v>44403</v>
      </c>
      <c r="T743" s="1">
        <v>44403</v>
      </c>
      <c r="U743">
        <v>37501</v>
      </c>
      <c r="V743" t="s">
        <v>61</v>
      </c>
      <c r="W743" t="s">
        <v>1401</v>
      </c>
      <c r="X743" s="1">
        <v>44407</v>
      </c>
      <c r="Y743" t="s">
        <v>207</v>
      </c>
      <c r="Z743">
        <v>263.38</v>
      </c>
      <c r="AA743">
        <v>16</v>
      </c>
      <c r="AB743">
        <v>38.619999999999997</v>
      </c>
      <c r="AC743">
        <v>0</v>
      </c>
      <c r="AD743">
        <v>302</v>
      </c>
      <c r="AE743">
        <v>302</v>
      </c>
      <c r="AF743">
        <v>545</v>
      </c>
      <c r="AG743" t="s">
        <v>1402</v>
      </c>
      <c r="AH743" t="s">
        <v>65</v>
      </c>
      <c r="AI743" t="s">
        <v>65</v>
      </c>
      <c r="AJ743" t="s">
        <v>66</v>
      </c>
      <c r="AK743" t="s">
        <v>66</v>
      </c>
      <c r="AL743" t="s">
        <v>66</v>
      </c>
      <c r="AM743" s="2" t="str">
        <f>HYPERLINK("https://transparencia.cidesi.mx/comprobantes/2021/CQ2100575 /C1LH8238_NOV1609299TA.pdf")</f>
        <v>https://transparencia.cidesi.mx/comprobantes/2021/CQ2100575 /C1LH8238_NOV1609299TA.pdf</v>
      </c>
      <c r="AN743" t="str">
        <f>HYPERLINK("https://transparencia.cidesi.mx/comprobantes/2021/CQ2100575 /C1LH8238_NOV1609299TA.pdf")</f>
        <v>https://transparencia.cidesi.mx/comprobantes/2021/CQ2100575 /C1LH8238_NOV1609299TA.pdf</v>
      </c>
      <c r="AO743" t="str">
        <f>HYPERLINK("https://transparencia.cidesi.mx/comprobantes/2021/CQ2100575 /C1LH8238_NOV1609299TA.xml")</f>
        <v>https://transparencia.cidesi.mx/comprobantes/2021/CQ2100575 /C1LH8238_NOV1609299TA.xml</v>
      </c>
      <c r="AP743" t="s">
        <v>1403</v>
      </c>
      <c r="AQ743" t="s">
        <v>1404</v>
      </c>
      <c r="AR743" t="s">
        <v>1405</v>
      </c>
      <c r="AS743" t="s">
        <v>1406</v>
      </c>
      <c r="AT743" s="1">
        <v>44410</v>
      </c>
      <c r="AU743" t="s">
        <v>73</v>
      </c>
    </row>
    <row r="744" spans="1:47" x14ac:dyDescent="0.3">
      <c r="A744" t="s">
        <v>47</v>
      </c>
      <c r="B744" t="s">
        <v>224</v>
      </c>
      <c r="C744" t="s">
        <v>372</v>
      </c>
      <c r="D744">
        <v>739</v>
      </c>
      <c r="E744" t="s">
        <v>1397</v>
      </c>
      <c r="F744" t="s">
        <v>692</v>
      </c>
      <c r="G744" t="s">
        <v>1398</v>
      </c>
      <c r="H744" t="s">
        <v>1407</v>
      </c>
      <c r="I744" t="s">
        <v>54</v>
      </c>
      <c r="J744" t="s">
        <v>1408</v>
      </c>
      <c r="K744" t="s">
        <v>56</v>
      </c>
      <c r="L744">
        <v>0</v>
      </c>
      <c r="M744" t="s">
        <v>73</v>
      </c>
      <c r="N744">
        <v>0</v>
      </c>
      <c r="O744" t="s">
        <v>58</v>
      </c>
      <c r="P744" t="s">
        <v>59</v>
      </c>
      <c r="Q744" t="s">
        <v>378</v>
      </c>
      <c r="R744" t="s">
        <v>1408</v>
      </c>
      <c r="S744" s="1">
        <v>44412</v>
      </c>
      <c r="T744" s="1">
        <v>44413</v>
      </c>
      <c r="U744">
        <v>37501</v>
      </c>
      <c r="V744" t="s">
        <v>61</v>
      </c>
      <c r="W744" t="s">
        <v>1409</v>
      </c>
      <c r="X744" s="1">
        <v>44414</v>
      </c>
      <c r="Y744" t="s">
        <v>207</v>
      </c>
      <c r="Z744">
        <v>1</v>
      </c>
      <c r="AA744">
        <v>0</v>
      </c>
      <c r="AB744">
        <v>0</v>
      </c>
      <c r="AC744">
        <v>0</v>
      </c>
      <c r="AD744">
        <v>1</v>
      </c>
      <c r="AE744">
        <v>1</v>
      </c>
      <c r="AF744">
        <v>1636</v>
      </c>
      <c r="AG744" t="s">
        <v>1402</v>
      </c>
      <c r="AH744" t="s">
        <v>66</v>
      </c>
      <c r="AI744" t="s">
        <v>66</v>
      </c>
      <c r="AJ744" t="s">
        <v>66</v>
      </c>
      <c r="AK744" t="s">
        <v>66</v>
      </c>
      <c r="AL744" t="s">
        <v>66</v>
      </c>
      <c r="AM744" s="2" t="s">
        <v>73</v>
      </c>
      <c r="AN744" t="s">
        <v>73</v>
      </c>
      <c r="AO744" t="s">
        <v>73</v>
      </c>
      <c r="AP744" t="s">
        <v>1410</v>
      </c>
      <c r="AQ744" t="s">
        <v>1410</v>
      </c>
      <c r="AR744" t="s">
        <v>1410</v>
      </c>
      <c r="AS744" t="s">
        <v>1410</v>
      </c>
      <c r="AT744" s="1">
        <v>44418</v>
      </c>
      <c r="AU744" t="s">
        <v>73</v>
      </c>
    </row>
    <row r="745" spans="1:47" x14ac:dyDescent="0.3">
      <c r="A745" t="s">
        <v>47</v>
      </c>
      <c r="B745" t="s">
        <v>224</v>
      </c>
      <c r="C745" t="s">
        <v>372</v>
      </c>
      <c r="D745">
        <v>739</v>
      </c>
      <c r="E745" t="s">
        <v>1397</v>
      </c>
      <c r="F745" t="s">
        <v>692</v>
      </c>
      <c r="G745" t="s">
        <v>1398</v>
      </c>
      <c r="H745" t="s">
        <v>1411</v>
      </c>
      <c r="I745" t="s">
        <v>54</v>
      </c>
      <c r="J745" t="s">
        <v>1412</v>
      </c>
      <c r="K745" t="s">
        <v>56</v>
      </c>
      <c r="L745">
        <v>0</v>
      </c>
      <c r="M745" t="s">
        <v>73</v>
      </c>
      <c r="N745">
        <v>0</v>
      </c>
      <c r="O745" t="s">
        <v>58</v>
      </c>
      <c r="P745" t="s">
        <v>59</v>
      </c>
      <c r="Q745" t="s">
        <v>378</v>
      </c>
      <c r="R745" t="s">
        <v>1412</v>
      </c>
      <c r="S745" s="1">
        <v>44414</v>
      </c>
      <c r="T745" s="1">
        <v>44414</v>
      </c>
      <c r="U745">
        <v>37501</v>
      </c>
      <c r="V745" t="s">
        <v>61</v>
      </c>
      <c r="W745" t="s">
        <v>1413</v>
      </c>
      <c r="X745" s="1">
        <v>44414</v>
      </c>
      <c r="Y745" t="s">
        <v>207</v>
      </c>
      <c r="Z745">
        <v>1</v>
      </c>
      <c r="AA745">
        <v>0</v>
      </c>
      <c r="AB745">
        <v>0</v>
      </c>
      <c r="AC745">
        <v>0</v>
      </c>
      <c r="AD745">
        <v>1</v>
      </c>
      <c r="AE745">
        <v>1</v>
      </c>
      <c r="AF745">
        <v>545</v>
      </c>
      <c r="AG745" t="s">
        <v>1402</v>
      </c>
      <c r="AH745" t="s">
        <v>66</v>
      </c>
      <c r="AI745" t="s">
        <v>66</v>
      </c>
      <c r="AJ745" t="s">
        <v>66</v>
      </c>
      <c r="AK745" t="s">
        <v>66</v>
      </c>
      <c r="AL745" t="s">
        <v>66</v>
      </c>
      <c r="AM745" s="2" t="s">
        <v>73</v>
      </c>
      <c r="AN745" t="s">
        <v>73</v>
      </c>
      <c r="AO745" t="s">
        <v>73</v>
      </c>
      <c r="AP745" t="s">
        <v>1410</v>
      </c>
      <c r="AQ745" t="s">
        <v>1410</v>
      </c>
      <c r="AR745" t="s">
        <v>1410</v>
      </c>
      <c r="AS745" t="s">
        <v>1410</v>
      </c>
      <c r="AT745" s="1">
        <v>44418</v>
      </c>
      <c r="AU745" t="s">
        <v>73</v>
      </c>
    </row>
    <row r="746" spans="1:47" x14ac:dyDescent="0.3">
      <c r="A746" t="s">
        <v>47</v>
      </c>
      <c r="B746" t="s">
        <v>224</v>
      </c>
      <c r="C746" t="s">
        <v>372</v>
      </c>
      <c r="D746">
        <v>739</v>
      </c>
      <c r="E746" t="s">
        <v>1397</v>
      </c>
      <c r="F746" t="s">
        <v>692</v>
      </c>
      <c r="G746" t="s">
        <v>1398</v>
      </c>
      <c r="H746" t="s">
        <v>1414</v>
      </c>
      <c r="I746" t="s">
        <v>54</v>
      </c>
      <c r="J746" t="s">
        <v>1415</v>
      </c>
      <c r="K746" t="s">
        <v>56</v>
      </c>
      <c r="L746">
        <v>0</v>
      </c>
      <c r="M746" t="s">
        <v>73</v>
      </c>
      <c r="N746">
        <v>0</v>
      </c>
      <c r="O746" t="s">
        <v>58</v>
      </c>
      <c r="P746" t="s">
        <v>59</v>
      </c>
      <c r="Q746" t="s">
        <v>378</v>
      </c>
      <c r="R746" t="s">
        <v>1415</v>
      </c>
      <c r="S746" s="1">
        <v>44417</v>
      </c>
      <c r="T746" s="1">
        <v>44419</v>
      </c>
      <c r="U746">
        <v>37501</v>
      </c>
      <c r="V746" t="s">
        <v>61</v>
      </c>
      <c r="W746" t="s">
        <v>1416</v>
      </c>
      <c r="X746" s="1">
        <v>44424</v>
      </c>
      <c r="Y746" t="s">
        <v>207</v>
      </c>
      <c r="Z746">
        <v>154.96</v>
      </c>
      <c r="AA746">
        <v>16</v>
      </c>
      <c r="AB746">
        <v>19.04</v>
      </c>
      <c r="AC746">
        <v>0</v>
      </c>
      <c r="AD746">
        <v>174</v>
      </c>
      <c r="AE746">
        <v>2904.41</v>
      </c>
      <c r="AF746">
        <v>2727</v>
      </c>
      <c r="AG746" t="s">
        <v>1402</v>
      </c>
      <c r="AH746" t="s">
        <v>65</v>
      </c>
      <c r="AI746" t="s">
        <v>65</v>
      </c>
      <c r="AJ746" t="s">
        <v>66</v>
      </c>
      <c r="AK746" t="s">
        <v>66</v>
      </c>
      <c r="AL746" t="s">
        <v>66</v>
      </c>
      <c r="AM746" s="2" t="str">
        <f>HYPERLINK("https://transparencia.cidesi.mx/comprobantes/2021/CQ2100653 /C1LH8330_NOV1609299TA.pdf")</f>
        <v>https://transparencia.cidesi.mx/comprobantes/2021/CQ2100653 /C1LH8330_NOV1609299TA.pdf</v>
      </c>
      <c r="AN746" t="str">
        <f>HYPERLINK("https://transparencia.cidesi.mx/comprobantes/2021/CQ2100653 /C1LH8330_NOV1609299TA.pdf")</f>
        <v>https://transparencia.cidesi.mx/comprobantes/2021/CQ2100653 /C1LH8330_NOV1609299TA.pdf</v>
      </c>
      <c r="AO746" t="str">
        <f>HYPERLINK("https://transparencia.cidesi.mx/comprobantes/2021/CQ2100653 /C1LH8330_NOV1609299TA.xml")</f>
        <v>https://transparencia.cidesi.mx/comprobantes/2021/CQ2100653 /C1LH8330_NOV1609299TA.xml</v>
      </c>
      <c r="AP746" t="s">
        <v>1417</v>
      </c>
      <c r="AQ746" t="s">
        <v>1418</v>
      </c>
      <c r="AR746" t="s">
        <v>1419</v>
      </c>
      <c r="AS746" t="s">
        <v>1420</v>
      </c>
      <c r="AT746" s="1">
        <v>44427</v>
      </c>
      <c r="AU746" t="s">
        <v>73</v>
      </c>
    </row>
    <row r="747" spans="1:47" x14ac:dyDescent="0.3">
      <c r="A747" t="s">
        <v>47</v>
      </c>
      <c r="B747" t="s">
        <v>224</v>
      </c>
      <c r="C747" t="s">
        <v>372</v>
      </c>
      <c r="D747">
        <v>739</v>
      </c>
      <c r="E747" t="s">
        <v>1397</v>
      </c>
      <c r="F747" t="s">
        <v>692</v>
      </c>
      <c r="G747" t="s">
        <v>1398</v>
      </c>
      <c r="H747" t="s">
        <v>1414</v>
      </c>
      <c r="I747" t="s">
        <v>54</v>
      </c>
      <c r="J747" t="s">
        <v>1415</v>
      </c>
      <c r="K747" t="s">
        <v>56</v>
      </c>
      <c r="L747">
        <v>0</v>
      </c>
      <c r="M747" t="s">
        <v>73</v>
      </c>
      <c r="N747">
        <v>0</v>
      </c>
      <c r="O747" t="s">
        <v>58</v>
      </c>
      <c r="P747" t="s">
        <v>59</v>
      </c>
      <c r="Q747" t="s">
        <v>378</v>
      </c>
      <c r="R747" t="s">
        <v>1415</v>
      </c>
      <c r="S747" s="1">
        <v>44417</v>
      </c>
      <c r="T747" s="1">
        <v>44419</v>
      </c>
      <c r="U747">
        <v>37501</v>
      </c>
      <c r="V747" t="s">
        <v>104</v>
      </c>
      <c r="W747" t="s">
        <v>1416</v>
      </c>
      <c r="X747" s="1">
        <v>44424</v>
      </c>
      <c r="Y747" t="s">
        <v>207</v>
      </c>
      <c r="Z747">
        <v>1590.88</v>
      </c>
      <c r="AA747">
        <v>16</v>
      </c>
      <c r="AB747">
        <v>247.13</v>
      </c>
      <c r="AC747">
        <v>0</v>
      </c>
      <c r="AD747">
        <v>1838.01</v>
      </c>
      <c r="AE747">
        <v>2904.41</v>
      </c>
      <c r="AF747">
        <v>2727</v>
      </c>
      <c r="AG747" t="s">
        <v>1421</v>
      </c>
      <c r="AH747" t="s">
        <v>65</v>
      </c>
      <c r="AI747" t="s">
        <v>65</v>
      </c>
      <c r="AJ747" t="s">
        <v>66</v>
      </c>
      <c r="AK747" t="s">
        <v>66</v>
      </c>
      <c r="AL747" t="s">
        <v>66</v>
      </c>
      <c r="AM747" s="2" t="str">
        <f>HYPERLINK("https://transparencia.cidesi.mx/comprobantes/2021/CQ2100653 /C2F0000139033_HPI111214PQ2.pdf")</f>
        <v>https://transparencia.cidesi.mx/comprobantes/2021/CQ2100653 /C2F0000139033_HPI111214PQ2.pdf</v>
      </c>
      <c r="AN747" t="str">
        <f>HYPERLINK("https://transparencia.cidesi.mx/comprobantes/2021/CQ2100653 /C2F0000139033_HPI111214PQ2.pdf")</f>
        <v>https://transparencia.cidesi.mx/comprobantes/2021/CQ2100653 /C2F0000139033_HPI111214PQ2.pdf</v>
      </c>
      <c r="AO747" t="str">
        <f>HYPERLINK("https://transparencia.cidesi.mx/comprobantes/2021/CQ2100653 /C2F0000139033_HPI111214PQ2.xml")</f>
        <v>https://transparencia.cidesi.mx/comprobantes/2021/CQ2100653 /C2F0000139033_HPI111214PQ2.xml</v>
      </c>
      <c r="AP747" t="s">
        <v>1417</v>
      </c>
      <c r="AQ747" t="s">
        <v>1418</v>
      </c>
      <c r="AR747" t="s">
        <v>1419</v>
      </c>
      <c r="AS747" t="s">
        <v>1420</v>
      </c>
      <c r="AT747" s="1">
        <v>44427</v>
      </c>
      <c r="AU747" t="s">
        <v>73</v>
      </c>
    </row>
    <row r="748" spans="1:47" x14ac:dyDescent="0.3">
      <c r="A748" t="s">
        <v>47</v>
      </c>
      <c r="B748" t="s">
        <v>224</v>
      </c>
      <c r="C748" t="s">
        <v>372</v>
      </c>
      <c r="D748">
        <v>739</v>
      </c>
      <c r="E748" t="s">
        <v>1397</v>
      </c>
      <c r="F748" t="s">
        <v>692</v>
      </c>
      <c r="G748" t="s">
        <v>1398</v>
      </c>
      <c r="H748" t="s">
        <v>1414</v>
      </c>
      <c r="I748" t="s">
        <v>54</v>
      </c>
      <c r="J748" t="s">
        <v>1415</v>
      </c>
      <c r="K748" t="s">
        <v>56</v>
      </c>
      <c r="L748">
        <v>0</v>
      </c>
      <c r="M748" t="s">
        <v>73</v>
      </c>
      <c r="N748">
        <v>0</v>
      </c>
      <c r="O748" t="s">
        <v>58</v>
      </c>
      <c r="P748" t="s">
        <v>59</v>
      </c>
      <c r="Q748" t="s">
        <v>378</v>
      </c>
      <c r="R748" t="s">
        <v>1415</v>
      </c>
      <c r="S748" s="1">
        <v>44417</v>
      </c>
      <c r="T748" s="1">
        <v>44419</v>
      </c>
      <c r="U748">
        <v>37501</v>
      </c>
      <c r="V748" t="s">
        <v>61</v>
      </c>
      <c r="W748" t="s">
        <v>1416</v>
      </c>
      <c r="X748" s="1">
        <v>44424</v>
      </c>
      <c r="Y748" t="s">
        <v>207</v>
      </c>
      <c r="Z748">
        <v>193.1</v>
      </c>
      <c r="AA748">
        <v>16</v>
      </c>
      <c r="AB748">
        <v>30.9</v>
      </c>
      <c r="AC748">
        <v>23</v>
      </c>
      <c r="AD748">
        <v>247</v>
      </c>
      <c r="AE748">
        <v>2904.41</v>
      </c>
      <c r="AF748">
        <v>2727</v>
      </c>
      <c r="AG748" t="s">
        <v>1402</v>
      </c>
      <c r="AH748" t="s">
        <v>65</v>
      </c>
      <c r="AI748" t="s">
        <v>65</v>
      </c>
      <c r="AJ748" t="s">
        <v>66</v>
      </c>
      <c r="AK748" t="s">
        <v>66</v>
      </c>
      <c r="AL748" t="s">
        <v>66</v>
      </c>
      <c r="AM748" s="2" t="str">
        <f>HYPERLINK("https://transparencia.cidesi.mx/comprobantes/2021/CQ2100653 /C3CSLS296133_NDG071019LH4.pdf")</f>
        <v>https://transparencia.cidesi.mx/comprobantes/2021/CQ2100653 /C3CSLS296133_NDG071019LH4.pdf</v>
      </c>
      <c r="AN748" t="str">
        <f>HYPERLINK("https://transparencia.cidesi.mx/comprobantes/2021/CQ2100653 /C3CSLS296133_NDG071019LH4.pdf")</f>
        <v>https://transparencia.cidesi.mx/comprobantes/2021/CQ2100653 /C3CSLS296133_NDG071019LH4.pdf</v>
      </c>
      <c r="AO748" t="str">
        <f>HYPERLINK("https://transparencia.cidesi.mx/comprobantes/2021/CQ2100653 /C3CSLS296133_NDG071019LH4.xml")</f>
        <v>https://transparencia.cidesi.mx/comprobantes/2021/CQ2100653 /C3CSLS296133_NDG071019LH4.xml</v>
      </c>
      <c r="AP748" t="s">
        <v>1417</v>
      </c>
      <c r="AQ748" t="s">
        <v>1418</v>
      </c>
      <c r="AR748" t="s">
        <v>1419</v>
      </c>
      <c r="AS748" t="s">
        <v>1420</v>
      </c>
      <c r="AT748" s="1">
        <v>44427</v>
      </c>
      <c r="AU748" t="s">
        <v>73</v>
      </c>
    </row>
    <row r="749" spans="1:47" x14ac:dyDescent="0.3">
      <c r="A749" t="s">
        <v>47</v>
      </c>
      <c r="B749" t="s">
        <v>224</v>
      </c>
      <c r="C749" t="s">
        <v>372</v>
      </c>
      <c r="D749">
        <v>739</v>
      </c>
      <c r="E749" t="s">
        <v>1397</v>
      </c>
      <c r="F749" t="s">
        <v>692</v>
      </c>
      <c r="G749" t="s">
        <v>1398</v>
      </c>
      <c r="H749" t="s">
        <v>1414</v>
      </c>
      <c r="I749" t="s">
        <v>54</v>
      </c>
      <c r="J749" t="s">
        <v>1415</v>
      </c>
      <c r="K749" t="s">
        <v>56</v>
      </c>
      <c r="L749">
        <v>0</v>
      </c>
      <c r="M749" t="s">
        <v>73</v>
      </c>
      <c r="N749">
        <v>0</v>
      </c>
      <c r="O749" t="s">
        <v>58</v>
      </c>
      <c r="P749" t="s">
        <v>59</v>
      </c>
      <c r="Q749" t="s">
        <v>378</v>
      </c>
      <c r="R749" t="s">
        <v>1415</v>
      </c>
      <c r="S749" s="1">
        <v>44417</v>
      </c>
      <c r="T749" s="1">
        <v>44419</v>
      </c>
      <c r="U749">
        <v>37501</v>
      </c>
      <c r="V749" t="s">
        <v>61</v>
      </c>
      <c r="W749" t="s">
        <v>1416</v>
      </c>
      <c r="X749" s="1">
        <v>44424</v>
      </c>
      <c r="Y749" t="s">
        <v>207</v>
      </c>
      <c r="Z749">
        <v>322.41000000000003</v>
      </c>
      <c r="AA749">
        <v>16</v>
      </c>
      <c r="AB749">
        <v>51.59</v>
      </c>
      <c r="AC749">
        <v>37.4</v>
      </c>
      <c r="AD749">
        <v>411.4</v>
      </c>
      <c r="AE749">
        <v>2904.41</v>
      </c>
      <c r="AF749">
        <v>2727</v>
      </c>
      <c r="AG749" t="s">
        <v>1402</v>
      </c>
      <c r="AH749" t="s">
        <v>65</v>
      </c>
      <c r="AI749" t="s">
        <v>65</v>
      </c>
      <c r="AJ749" t="s">
        <v>66</v>
      </c>
      <c r="AK749" t="s">
        <v>66</v>
      </c>
      <c r="AL749" t="s">
        <v>66</v>
      </c>
      <c r="AM749" s="2" t="str">
        <f>HYPERLINK("https://transparencia.cidesi.mx/comprobantes/2021/CQ2100653 /C4OVILU45588_OVI800131GQ6.pdf")</f>
        <v>https://transparencia.cidesi.mx/comprobantes/2021/CQ2100653 /C4OVILU45588_OVI800131GQ6.pdf</v>
      </c>
      <c r="AN749" t="str">
        <f>HYPERLINK("https://transparencia.cidesi.mx/comprobantes/2021/CQ2100653 /C4OVILU45588_OVI800131GQ6.pdf")</f>
        <v>https://transparencia.cidesi.mx/comprobantes/2021/CQ2100653 /C4OVILU45588_OVI800131GQ6.pdf</v>
      </c>
      <c r="AO749" t="str">
        <f>HYPERLINK("https://transparencia.cidesi.mx/comprobantes/2021/CQ2100653 /C4OVILU45588_OVI800131GQ6.xml")</f>
        <v>https://transparencia.cidesi.mx/comprobantes/2021/CQ2100653 /C4OVILU45588_OVI800131GQ6.xml</v>
      </c>
      <c r="AP749" t="s">
        <v>1417</v>
      </c>
      <c r="AQ749" t="s">
        <v>1418</v>
      </c>
      <c r="AR749" t="s">
        <v>1419</v>
      </c>
      <c r="AS749" t="s">
        <v>1420</v>
      </c>
      <c r="AT749" s="1">
        <v>44427</v>
      </c>
      <c r="AU749" t="s">
        <v>73</v>
      </c>
    </row>
    <row r="750" spans="1:47" x14ac:dyDescent="0.3">
      <c r="A750" t="s">
        <v>47</v>
      </c>
      <c r="B750" t="s">
        <v>224</v>
      </c>
      <c r="C750" t="s">
        <v>372</v>
      </c>
      <c r="D750">
        <v>739</v>
      </c>
      <c r="E750" t="s">
        <v>1397</v>
      </c>
      <c r="F750" t="s">
        <v>692</v>
      </c>
      <c r="G750" t="s">
        <v>1398</v>
      </c>
      <c r="H750" t="s">
        <v>1414</v>
      </c>
      <c r="I750" t="s">
        <v>54</v>
      </c>
      <c r="J750" t="s">
        <v>1415</v>
      </c>
      <c r="K750" t="s">
        <v>56</v>
      </c>
      <c r="L750">
        <v>0</v>
      </c>
      <c r="M750" t="s">
        <v>73</v>
      </c>
      <c r="N750">
        <v>0</v>
      </c>
      <c r="O750" t="s">
        <v>58</v>
      </c>
      <c r="P750" t="s">
        <v>59</v>
      </c>
      <c r="Q750" t="s">
        <v>378</v>
      </c>
      <c r="R750" t="s">
        <v>1415</v>
      </c>
      <c r="S750" s="1">
        <v>44417</v>
      </c>
      <c r="T750" s="1">
        <v>44419</v>
      </c>
      <c r="U750">
        <v>37501</v>
      </c>
      <c r="V750" t="s">
        <v>61</v>
      </c>
      <c r="W750" t="s">
        <v>1416</v>
      </c>
      <c r="X750" s="1">
        <v>44424</v>
      </c>
      <c r="Y750" t="s">
        <v>207</v>
      </c>
      <c r="Z750">
        <v>201.72</v>
      </c>
      <c r="AA750">
        <v>16</v>
      </c>
      <c r="AB750">
        <v>32.28</v>
      </c>
      <c r="AC750">
        <v>0</v>
      </c>
      <c r="AD750">
        <v>234</v>
      </c>
      <c r="AE750">
        <v>2904.41</v>
      </c>
      <c r="AF750">
        <v>2727</v>
      </c>
      <c r="AG750" t="s">
        <v>1402</v>
      </c>
      <c r="AH750" t="s">
        <v>65</v>
      </c>
      <c r="AI750" t="s">
        <v>65</v>
      </c>
      <c r="AJ750" t="s">
        <v>66</v>
      </c>
      <c r="AK750" t="s">
        <v>66</v>
      </c>
      <c r="AL750" t="s">
        <v>66</v>
      </c>
      <c r="AM750" s="2" t="str">
        <f>HYPERLINK("https://transparencia.cidesi.mx/comprobantes/2021/CQ2100653 /C5FFS8025_SPB161213N69.pdf")</f>
        <v>https://transparencia.cidesi.mx/comprobantes/2021/CQ2100653 /C5FFS8025_SPB161213N69.pdf</v>
      </c>
      <c r="AN750" t="str">
        <f>HYPERLINK("https://transparencia.cidesi.mx/comprobantes/2021/CQ2100653 /C5FFS8025_SPB161213N69.pdf")</f>
        <v>https://transparencia.cidesi.mx/comprobantes/2021/CQ2100653 /C5FFS8025_SPB161213N69.pdf</v>
      </c>
      <c r="AO750" t="str">
        <f>HYPERLINK("https://transparencia.cidesi.mx/comprobantes/2021/CQ2100653 /C5FFS8025_SPB161213N69.xml")</f>
        <v>https://transparencia.cidesi.mx/comprobantes/2021/CQ2100653 /C5FFS8025_SPB161213N69.xml</v>
      </c>
      <c r="AP750" t="s">
        <v>1417</v>
      </c>
      <c r="AQ750" t="s">
        <v>1418</v>
      </c>
      <c r="AR750" t="s">
        <v>1419</v>
      </c>
      <c r="AS750" t="s">
        <v>1420</v>
      </c>
      <c r="AT750" s="1">
        <v>44427</v>
      </c>
      <c r="AU750" t="s">
        <v>73</v>
      </c>
    </row>
    <row r="751" spans="1:47" x14ac:dyDescent="0.3">
      <c r="A751" t="s">
        <v>47</v>
      </c>
      <c r="B751" t="s">
        <v>224</v>
      </c>
      <c r="C751" t="s">
        <v>372</v>
      </c>
      <c r="D751">
        <v>739</v>
      </c>
      <c r="E751" t="s">
        <v>1397</v>
      </c>
      <c r="F751" t="s">
        <v>692</v>
      </c>
      <c r="G751" t="s">
        <v>1398</v>
      </c>
      <c r="H751" t="s">
        <v>1422</v>
      </c>
      <c r="I751" t="s">
        <v>54</v>
      </c>
      <c r="J751" t="s">
        <v>1423</v>
      </c>
      <c r="K751" t="s">
        <v>56</v>
      </c>
      <c r="L751">
        <v>0</v>
      </c>
      <c r="M751" t="s">
        <v>73</v>
      </c>
      <c r="N751">
        <v>0</v>
      </c>
      <c r="O751" t="s">
        <v>58</v>
      </c>
      <c r="P751" t="s">
        <v>59</v>
      </c>
      <c r="Q751" t="s">
        <v>378</v>
      </c>
      <c r="R751" t="s">
        <v>1423</v>
      </c>
      <c r="S751" s="1">
        <v>44468</v>
      </c>
      <c r="T751" s="1">
        <v>44468</v>
      </c>
      <c r="U751">
        <v>37501</v>
      </c>
      <c r="V751" t="s">
        <v>61</v>
      </c>
      <c r="W751" t="s">
        <v>1424</v>
      </c>
      <c r="X751" s="1">
        <v>44473</v>
      </c>
      <c r="Y751" t="s">
        <v>207</v>
      </c>
      <c r="Z751">
        <v>373.28</v>
      </c>
      <c r="AA751">
        <v>16</v>
      </c>
      <c r="AB751">
        <v>59.72</v>
      </c>
      <c r="AC751">
        <v>0</v>
      </c>
      <c r="AD751">
        <v>433</v>
      </c>
      <c r="AE751">
        <v>433</v>
      </c>
      <c r="AF751">
        <v>545</v>
      </c>
      <c r="AG751" t="s">
        <v>1402</v>
      </c>
      <c r="AH751" t="s">
        <v>65</v>
      </c>
      <c r="AI751" t="s">
        <v>65</v>
      </c>
      <c r="AJ751" t="s">
        <v>66</v>
      </c>
      <c r="AK751" t="s">
        <v>66</v>
      </c>
      <c r="AL751" t="s">
        <v>66</v>
      </c>
      <c r="AM751" s="2" t="str">
        <f>HYPERLINK("https://transparencia.cidesi.mx/comprobantes/2021/CQ2100931 /C1FA20208_GAL180827321.pdf")</f>
        <v>https://transparencia.cidesi.mx/comprobantes/2021/CQ2100931 /C1FA20208_GAL180827321.pdf</v>
      </c>
      <c r="AN751" t="str">
        <f>HYPERLINK("https://transparencia.cidesi.mx/comprobantes/2021/CQ2100931 /C1FA20208_GAL180827321.pdf")</f>
        <v>https://transparencia.cidesi.mx/comprobantes/2021/CQ2100931 /C1FA20208_GAL180827321.pdf</v>
      </c>
      <c r="AO751" t="str">
        <f>HYPERLINK("https://transparencia.cidesi.mx/comprobantes/2021/CQ2100931 /C1FA20208_GAL180827321.xml")</f>
        <v>https://transparencia.cidesi.mx/comprobantes/2021/CQ2100931 /C1FA20208_GAL180827321.xml</v>
      </c>
      <c r="AP751" t="s">
        <v>1425</v>
      </c>
      <c r="AQ751" t="s">
        <v>1426</v>
      </c>
      <c r="AR751" t="s">
        <v>1427</v>
      </c>
      <c r="AS751" t="s">
        <v>1427</v>
      </c>
      <c r="AT751" s="1">
        <v>44474</v>
      </c>
      <c r="AU751" t="s">
        <v>73</v>
      </c>
    </row>
    <row r="752" spans="1:47" x14ac:dyDescent="0.3">
      <c r="A752" t="s">
        <v>246</v>
      </c>
      <c r="B752" t="s">
        <v>48</v>
      </c>
      <c r="C752" t="s">
        <v>338</v>
      </c>
      <c r="D752">
        <v>749</v>
      </c>
      <c r="E752" t="s">
        <v>1428</v>
      </c>
      <c r="F752" t="s">
        <v>708</v>
      </c>
      <c r="G752" t="s">
        <v>1429</v>
      </c>
      <c r="H752" t="s">
        <v>1430</v>
      </c>
      <c r="I752" t="s">
        <v>54</v>
      </c>
      <c r="J752" t="s">
        <v>1431</v>
      </c>
      <c r="K752" t="s">
        <v>56</v>
      </c>
      <c r="L752">
        <v>0</v>
      </c>
      <c r="M752" t="s">
        <v>73</v>
      </c>
      <c r="N752">
        <v>0</v>
      </c>
      <c r="O752" t="s">
        <v>58</v>
      </c>
      <c r="P752" t="s">
        <v>59</v>
      </c>
      <c r="Q752" t="s">
        <v>1432</v>
      </c>
      <c r="R752" t="s">
        <v>1431</v>
      </c>
      <c r="S752" s="1">
        <v>44396</v>
      </c>
      <c r="T752" s="1">
        <v>44397</v>
      </c>
      <c r="U752">
        <v>37501</v>
      </c>
      <c r="V752" t="s">
        <v>61</v>
      </c>
      <c r="W752" t="s">
        <v>1433</v>
      </c>
      <c r="X752" s="1">
        <v>44404</v>
      </c>
      <c r="Y752" t="s">
        <v>63</v>
      </c>
      <c r="Z752">
        <v>469.83</v>
      </c>
      <c r="AA752">
        <v>16</v>
      </c>
      <c r="AB752">
        <v>75.17</v>
      </c>
      <c r="AC752">
        <v>0</v>
      </c>
      <c r="AD752">
        <v>545</v>
      </c>
      <c r="AE752">
        <v>545</v>
      </c>
      <c r="AF752">
        <v>1636</v>
      </c>
      <c r="AG752" t="s">
        <v>1434</v>
      </c>
      <c r="AH752" t="s">
        <v>65</v>
      </c>
      <c r="AI752" t="s">
        <v>65</v>
      </c>
      <c r="AJ752" t="s">
        <v>66</v>
      </c>
      <c r="AK752" t="s">
        <v>66</v>
      </c>
      <c r="AL752" t="s">
        <v>66</v>
      </c>
      <c r="AM752" s="2" t="str">
        <f>HYPERLINK("https://transparencia.cidesi.mx/comprobantes/2021/CQ2100550 /C169291566.pdf")</f>
        <v>https://transparencia.cidesi.mx/comprobantes/2021/CQ2100550 /C169291566.pdf</v>
      </c>
      <c r="AN752" t="str">
        <f>HYPERLINK("https://transparencia.cidesi.mx/comprobantes/2021/CQ2100550 /C169291566.pdf")</f>
        <v>https://transparencia.cidesi.mx/comprobantes/2021/CQ2100550 /C169291566.pdf</v>
      </c>
      <c r="AO752" t="str">
        <f>HYPERLINK("https://transparencia.cidesi.mx/comprobantes/2021/CQ2100550 /C169291566.xml")</f>
        <v>https://transparencia.cidesi.mx/comprobantes/2021/CQ2100550 /C169291566.xml</v>
      </c>
      <c r="AP752" t="s">
        <v>1431</v>
      </c>
      <c r="AQ752" t="s">
        <v>1435</v>
      </c>
      <c r="AR752" t="s">
        <v>1436</v>
      </c>
      <c r="AS752" t="s">
        <v>1437</v>
      </c>
      <c r="AT752" s="1">
        <v>44405</v>
      </c>
      <c r="AU752" s="1">
        <v>44411</v>
      </c>
    </row>
    <row r="753" spans="1:47" x14ac:dyDescent="0.3">
      <c r="A753" t="s">
        <v>246</v>
      </c>
      <c r="B753" t="s">
        <v>48</v>
      </c>
      <c r="C753" t="s">
        <v>338</v>
      </c>
      <c r="D753">
        <v>749</v>
      </c>
      <c r="E753" t="s">
        <v>1428</v>
      </c>
      <c r="F753" t="s">
        <v>708</v>
      </c>
      <c r="G753" t="s">
        <v>1429</v>
      </c>
      <c r="H753" t="s">
        <v>1438</v>
      </c>
      <c r="I753" t="s">
        <v>54</v>
      </c>
      <c r="J753" t="s">
        <v>1439</v>
      </c>
      <c r="K753" t="s">
        <v>56</v>
      </c>
      <c r="L753">
        <v>0</v>
      </c>
      <c r="M753" t="s">
        <v>73</v>
      </c>
      <c r="N753">
        <v>0</v>
      </c>
      <c r="O753" t="s">
        <v>58</v>
      </c>
      <c r="P753" t="s">
        <v>59</v>
      </c>
      <c r="Q753" t="s">
        <v>1432</v>
      </c>
      <c r="R753" t="s">
        <v>1439</v>
      </c>
      <c r="S753" s="1">
        <v>44438</v>
      </c>
      <c r="T753" s="1">
        <v>44439</v>
      </c>
      <c r="U753">
        <v>37501</v>
      </c>
      <c r="V753" t="s">
        <v>61</v>
      </c>
      <c r="W753" t="s">
        <v>1440</v>
      </c>
      <c r="X753" s="1">
        <v>44446</v>
      </c>
      <c r="Y753" t="s">
        <v>207</v>
      </c>
      <c r="Z753">
        <v>469.83</v>
      </c>
      <c r="AA753">
        <v>16</v>
      </c>
      <c r="AB753">
        <v>75.17</v>
      </c>
      <c r="AC753">
        <v>0</v>
      </c>
      <c r="AD753">
        <v>545</v>
      </c>
      <c r="AE753">
        <v>1090</v>
      </c>
      <c r="AF753">
        <v>1636</v>
      </c>
      <c r="AG753" t="s">
        <v>1434</v>
      </c>
      <c r="AH753" t="s">
        <v>65</v>
      </c>
      <c r="AI753" t="s">
        <v>65</v>
      </c>
      <c r="AJ753" t="s">
        <v>66</v>
      </c>
      <c r="AK753" t="s">
        <v>66</v>
      </c>
      <c r="AL753" t="s">
        <v>66</v>
      </c>
      <c r="AM753" s="2" t="str">
        <f>HYPERLINK("https://transparencia.cidesi.mx/comprobantes/2021/CQ2100742 /C1GRE111107FZ2_N15184.pdf")</f>
        <v>https://transparencia.cidesi.mx/comprobantes/2021/CQ2100742 /C1GRE111107FZ2_N15184.pdf</v>
      </c>
      <c r="AN753" t="str">
        <f>HYPERLINK("https://transparencia.cidesi.mx/comprobantes/2021/CQ2100742 /C1GRE111107FZ2_N15184.pdf")</f>
        <v>https://transparencia.cidesi.mx/comprobantes/2021/CQ2100742 /C1GRE111107FZ2_N15184.pdf</v>
      </c>
      <c r="AO753" t="str">
        <f>HYPERLINK("https://transparencia.cidesi.mx/comprobantes/2021/CQ2100742 /C1GRE111107FZ2_N15184.xml")</f>
        <v>https://transparencia.cidesi.mx/comprobantes/2021/CQ2100742 /C1GRE111107FZ2_N15184.xml</v>
      </c>
      <c r="AP753" t="s">
        <v>1441</v>
      </c>
      <c r="AQ753" t="s">
        <v>1442</v>
      </c>
      <c r="AR753" t="s">
        <v>1443</v>
      </c>
      <c r="AS753" t="s">
        <v>1444</v>
      </c>
      <c r="AT753" s="1">
        <v>44446</v>
      </c>
      <c r="AU753" t="s">
        <v>73</v>
      </c>
    </row>
    <row r="754" spans="1:47" x14ac:dyDescent="0.3">
      <c r="A754" t="s">
        <v>246</v>
      </c>
      <c r="B754" t="s">
        <v>48</v>
      </c>
      <c r="C754" t="s">
        <v>338</v>
      </c>
      <c r="D754">
        <v>749</v>
      </c>
      <c r="E754" t="s">
        <v>1428</v>
      </c>
      <c r="F754" t="s">
        <v>708</v>
      </c>
      <c r="G754" t="s">
        <v>1429</v>
      </c>
      <c r="H754" t="s">
        <v>1438</v>
      </c>
      <c r="I754" t="s">
        <v>54</v>
      </c>
      <c r="J754" t="s">
        <v>1439</v>
      </c>
      <c r="K754" t="s">
        <v>56</v>
      </c>
      <c r="L754">
        <v>0</v>
      </c>
      <c r="M754" t="s">
        <v>73</v>
      </c>
      <c r="N754">
        <v>0</v>
      </c>
      <c r="O754" t="s">
        <v>58</v>
      </c>
      <c r="P754" t="s">
        <v>59</v>
      </c>
      <c r="Q754" t="s">
        <v>1432</v>
      </c>
      <c r="R754" t="s">
        <v>1439</v>
      </c>
      <c r="S754" s="1">
        <v>44438</v>
      </c>
      <c r="T754" s="1">
        <v>44439</v>
      </c>
      <c r="U754">
        <v>37501</v>
      </c>
      <c r="V754" t="s">
        <v>61</v>
      </c>
      <c r="W754" t="s">
        <v>1440</v>
      </c>
      <c r="X754" s="1">
        <v>44446</v>
      </c>
      <c r="Y754" t="s">
        <v>207</v>
      </c>
      <c r="Z754">
        <v>469.83</v>
      </c>
      <c r="AA754">
        <v>16</v>
      </c>
      <c r="AB754">
        <v>75.17</v>
      </c>
      <c r="AC754">
        <v>0</v>
      </c>
      <c r="AD754">
        <v>545</v>
      </c>
      <c r="AE754">
        <v>1090</v>
      </c>
      <c r="AF754">
        <v>1636</v>
      </c>
      <c r="AG754" t="s">
        <v>1434</v>
      </c>
      <c r="AH754" t="s">
        <v>65</v>
      </c>
      <c r="AI754" t="s">
        <v>65</v>
      </c>
      <c r="AJ754" t="s">
        <v>66</v>
      </c>
      <c r="AK754" t="s">
        <v>66</v>
      </c>
      <c r="AL754" t="s">
        <v>66</v>
      </c>
      <c r="AM754" s="2" t="str">
        <f>HYPERLINK("https://transparencia.cidesi.mx/comprobantes/2021/CQ2100742 /C2SGQ140314II7_Factura__31227_BBECE864-216A-4BA9-84A0-3FDEA99FF01B.pdf")</f>
        <v>https://transparencia.cidesi.mx/comprobantes/2021/CQ2100742 /C2SGQ140314II7_Factura__31227_BBECE864-216A-4BA9-84A0-3FDEA99FF01B.pdf</v>
      </c>
      <c r="AN754" t="str">
        <f>HYPERLINK("https://transparencia.cidesi.mx/comprobantes/2021/CQ2100742 /C2SGQ140314II7_Factura__31227_BBECE864-216A-4BA9-84A0-3FDEA99FF01B.pdf")</f>
        <v>https://transparencia.cidesi.mx/comprobantes/2021/CQ2100742 /C2SGQ140314II7_Factura__31227_BBECE864-216A-4BA9-84A0-3FDEA99FF01B.pdf</v>
      </c>
      <c r="AO754" t="str">
        <f>HYPERLINK("https://transparencia.cidesi.mx/comprobantes/2021/CQ2100742 /C2SGQ140314II7_Factura__31227_BBECE864-216A-4BA9-84A0-3FDEA99FF01B.xml")</f>
        <v>https://transparencia.cidesi.mx/comprobantes/2021/CQ2100742 /C2SGQ140314II7_Factura__31227_BBECE864-216A-4BA9-84A0-3FDEA99FF01B.xml</v>
      </c>
      <c r="AP754" t="s">
        <v>1441</v>
      </c>
      <c r="AQ754" t="s">
        <v>1442</v>
      </c>
      <c r="AR754" t="s">
        <v>1443</v>
      </c>
      <c r="AS754" t="s">
        <v>1444</v>
      </c>
      <c r="AT754" s="1">
        <v>44446</v>
      </c>
      <c r="AU754" t="s">
        <v>73</v>
      </c>
    </row>
    <row r="755" spans="1:47" x14ac:dyDescent="0.3">
      <c r="A755" t="s">
        <v>47</v>
      </c>
      <c r="B755" t="s">
        <v>224</v>
      </c>
      <c r="C755" t="s">
        <v>225</v>
      </c>
      <c r="D755">
        <v>753</v>
      </c>
      <c r="E755" t="s">
        <v>1445</v>
      </c>
      <c r="F755" t="s">
        <v>1250</v>
      </c>
      <c r="G755" t="s">
        <v>1446</v>
      </c>
      <c r="H755" t="s">
        <v>1447</v>
      </c>
      <c r="I755" t="s">
        <v>54</v>
      </c>
      <c r="J755" t="s">
        <v>1448</v>
      </c>
      <c r="K755" t="s">
        <v>56</v>
      </c>
      <c r="L755">
        <v>0</v>
      </c>
      <c r="M755" t="s">
        <v>73</v>
      </c>
      <c r="N755">
        <v>0</v>
      </c>
      <c r="O755" t="s">
        <v>58</v>
      </c>
      <c r="P755" t="s">
        <v>59</v>
      </c>
      <c r="Q755" t="s">
        <v>252</v>
      </c>
      <c r="R755" t="s">
        <v>1448</v>
      </c>
      <c r="S755" s="1">
        <v>44405</v>
      </c>
      <c r="T755" s="1">
        <v>44405</v>
      </c>
      <c r="U755">
        <v>37501</v>
      </c>
      <c r="V755" t="s">
        <v>61</v>
      </c>
      <c r="W755" t="s">
        <v>1449</v>
      </c>
      <c r="X755" s="1">
        <v>44407</v>
      </c>
      <c r="Y755" t="s">
        <v>63</v>
      </c>
      <c r="Z755">
        <v>330.17</v>
      </c>
      <c r="AA755">
        <v>16</v>
      </c>
      <c r="AB755">
        <v>52.83</v>
      </c>
      <c r="AC755">
        <v>0</v>
      </c>
      <c r="AD755">
        <v>383</v>
      </c>
      <c r="AE755">
        <v>383</v>
      </c>
      <c r="AF755">
        <v>545</v>
      </c>
      <c r="AG755" t="s">
        <v>1450</v>
      </c>
      <c r="AH755" t="s">
        <v>65</v>
      </c>
      <c r="AI755" t="s">
        <v>65</v>
      </c>
      <c r="AJ755" t="s">
        <v>66</v>
      </c>
      <c r="AK755" t="s">
        <v>66</v>
      </c>
      <c r="AL755" t="s">
        <v>66</v>
      </c>
      <c r="AM755" s="2" t="str">
        <f>HYPERLINK("https://transparencia.cidesi.mx/comprobantes/2021/CQ2100577 /C1FB0000019932_MADA550928FF8.pdf")</f>
        <v>https://transparencia.cidesi.mx/comprobantes/2021/CQ2100577 /C1FB0000019932_MADA550928FF8.pdf</v>
      </c>
      <c r="AN755" t="str">
        <f>HYPERLINK("https://transparencia.cidesi.mx/comprobantes/2021/CQ2100577 /C1FB0000019932_MADA550928FF8.pdf")</f>
        <v>https://transparencia.cidesi.mx/comprobantes/2021/CQ2100577 /C1FB0000019932_MADA550928FF8.pdf</v>
      </c>
      <c r="AO755" t="str">
        <f>HYPERLINK("https://transparencia.cidesi.mx/comprobantes/2021/CQ2100577 /C1FB0000019932_MADA550928FF8.xml")</f>
        <v>https://transparencia.cidesi.mx/comprobantes/2021/CQ2100577 /C1FB0000019932_MADA550928FF8.xml</v>
      </c>
      <c r="AP755" t="s">
        <v>1451</v>
      </c>
      <c r="AQ755" t="s">
        <v>1452</v>
      </c>
      <c r="AR755" t="s">
        <v>1453</v>
      </c>
      <c r="AS755" t="s">
        <v>1454</v>
      </c>
      <c r="AT755" s="1">
        <v>44410</v>
      </c>
      <c r="AU755" s="1">
        <v>44424</v>
      </c>
    </row>
    <row r="756" spans="1:47" x14ac:dyDescent="0.3">
      <c r="A756" t="s">
        <v>47</v>
      </c>
      <c r="B756" t="s">
        <v>224</v>
      </c>
      <c r="C756" t="s">
        <v>225</v>
      </c>
      <c r="D756">
        <v>753</v>
      </c>
      <c r="E756" t="s">
        <v>1445</v>
      </c>
      <c r="F756" t="s">
        <v>1250</v>
      </c>
      <c r="G756" t="s">
        <v>1446</v>
      </c>
      <c r="H756" t="s">
        <v>1455</v>
      </c>
      <c r="I756" t="s">
        <v>54</v>
      </c>
      <c r="J756" t="s">
        <v>1456</v>
      </c>
      <c r="K756" t="s">
        <v>56</v>
      </c>
      <c r="L756">
        <v>0</v>
      </c>
      <c r="M756" t="s">
        <v>73</v>
      </c>
      <c r="N756">
        <v>0</v>
      </c>
      <c r="O756" t="s">
        <v>58</v>
      </c>
      <c r="P756" t="s">
        <v>59</v>
      </c>
      <c r="Q756" t="s">
        <v>216</v>
      </c>
      <c r="R756" t="s">
        <v>1456</v>
      </c>
      <c r="S756" s="1">
        <v>44418</v>
      </c>
      <c r="T756" s="1">
        <v>44418</v>
      </c>
      <c r="U756">
        <v>37501</v>
      </c>
      <c r="V756" t="s">
        <v>61</v>
      </c>
      <c r="W756" t="s">
        <v>1457</v>
      </c>
      <c r="X756" s="1">
        <v>44420</v>
      </c>
      <c r="Y756" t="s">
        <v>63</v>
      </c>
      <c r="Z756">
        <v>376.72</v>
      </c>
      <c r="AA756">
        <v>16</v>
      </c>
      <c r="AB756">
        <v>60.28</v>
      </c>
      <c r="AC756">
        <v>44</v>
      </c>
      <c r="AD756">
        <v>481</v>
      </c>
      <c r="AE756">
        <v>481</v>
      </c>
      <c r="AF756">
        <v>545</v>
      </c>
      <c r="AG756" t="s">
        <v>1450</v>
      </c>
      <c r="AH756" t="s">
        <v>65</v>
      </c>
      <c r="AI756" t="s">
        <v>65</v>
      </c>
      <c r="AJ756" t="s">
        <v>66</v>
      </c>
      <c r="AK756" t="s">
        <v>66</v>
      </c>
      <c r="AL756" t="s">
        <v>66</v>
      </c>
      <c r="AM756" s="2" t="str">
        <f>HYPERLINK("https://transparencia.cidesi.mx/comprobantes/2021/CQ2100635 /C1F0000019108_SGI140703AN8.pdf")</f>
        <v>https://transparencia.cidesi.mx/comprobantes/2021/CQ2100635 /C1F0000019108_SGI140703AN8.pdf</v>
      </c>
      <c r="AN756" t="str">
        <f>HYPERLINK("https://transparencia.cidesi.mx/comprobantes/2021/CQ2100635 /C1F0000019108_SGI140703AN8.pdf")</f>
        <v>https://transparencia.cidesi.mx/comprobantes/2021/CQ2100635 /C1F0000019108_SGI140703AN8.pdf</v>
      </c>
      <c r="AO756" t="str">
        <f>HYPERLINK("https://transparencia.cidesi.mx/comprobantes/2021/CQ2100635 /C1F0000019108_SGI140703AN8.xml")</f>
        <v>https://transparencia.cidesi.mx/comprobantes/2021/CQ2100635 /C1F0000019108_SGI140703AN8.xml</v>
      </c>
      <c r="AP756" t="s">
        <v>1458</v>
      </c>
      <c r="AQ756" t="s">
        <v>1459</v>
      </c>
      <c r="AR756" t="s">
        <v>1453</v>
      </c>
      <c r="AS756" t="s">
        <v>1454</v>
      </c>
      <c r="AT756" s="1">
        <v>44425</v>
      </c>
      <c r="AU756" s="1">
        <v>44428</v>
      </c>
    </row>
    <row r="757" spans="1:47" x14ac:dyDescent="0.3">
      <c r="A757" t="s">
        <v>47</v>
      </c>
      <c r="B757" t="s">
        <v>224</v>
      </c>
      <c r="C757" t="s">
        <v>225</v>
      </c>
      <c r="D757">
        <v>753</v>
      </c>
      <c r="E757" t="s">
        <v>1445</v>
      </c>
      <c r="F757" t="s">
        <v>1250</v>
      </c>
      <c r="G757" t="s">
        <v>1446</v>
      </c>
      <c r="H757" t="s">
        <v>1460</v>
      </c>
      <c r="I757" t="s">
        <v>54</v>
      </c>
      <c r="J757" t="s">
        <v>1461</v>
      </c>
      <c r="K757" t="s">
        <v>56</v>
      </c>
      <c r="L757">
        <v>0</v>
      </c>
      <c r="M757" t="s">
        <v>73</v>
      </c>
      <c r="N757">
        <v>0</v>
      </c>
      <c r="O757" t="s">
        <v>58</v>
      </c>
      <c r="P757" t="s">
        <v>59</v>
      </c>
      <c r="Q757" t="s">
        <v>216</v>
      </c>
      <c r="R757" t="s">
        <v>1461</v>
      </c>
      <c r="S757" s="1">
        <v>44445</v>
      </c>
      <c r="T757" s="1">
        <v>44445</v>
      </c>
      <c r="U757">
        <v>37501</v>
      </c>
      <c r="V757" t="s">
        <v>61</v>
      </c>
      <c r="W757" t="s">
        <v>1462</v>
      </c>
      <c r="X757" s="1">
        <v>44446</v>
      </c>
      <c r="Y757" t="s">
        <v>100</v>
      </c>
      <c r="Z757">
        <v>112.83</v>
      </c>
      <c r="AA757">
        <v>16</v>
      </c>
      <c r="AB757">
        <v>5.17</v>
      </c>
      <c r="AC757">
        <v>0</v>
      </c>
      <c r="AD757">
        <v>118</v>
      </c>
      <c r="AE757">
        <v>448</v>
      </c>
      <c r="AF757">
        <v>545</v>
      </c>
      <c r="AG757" t="s">
        <v>1450</v>
      </c>
      <c r="AH757" t="s">
        <v>65</v>
      </c>
      <c r="AI757" t="s">
        <v>65</v>
      </c>
      <c r="AJ757" t="s">
        <v>66</v>
      </c>
      <c r="AK757" t="s">
        <v>66</v>
      </c>
      <c r="AL757" t="s">
        <v>66</v>
      </c>
      <c r="AM757" s="2" t="str">
        <f>HYPERLINK("https://transparencia.cidesi.mx/comprobantes/2021/CQ2100751 /C1344125057_CCO8605231N4.pdf")</f>
        <v>https://transparencia.cidesi.mx/comprobantes/2021/CQ2100751 /C1344125057_CCO8605231N4.pdf</v>
      </c>
      <c r="AN757" t="str">
        <f>HYPERLINK("https://transparencia.cidesi.mx/comprobantes/2021/CQ2100751 /C1344125057_CCO8605231N4.pdf")</f>
        <v>https://transparencia.cidesi.mx/comprobantes/2021/CQ2100751 /C1344125057_CCO8605231N4.pdf</v>
      </c>
      <c r="AO757" t="str">
        <f>HYPERLINK("https://transparencia.cidesi.mx/comprobantes/2021/CQ2100751 /C1344125057_CCO8605231N4.xml")</f>
        <v>https://transparencia.cidesi.mx/comprobantes/2021/CQ2100751 /C1344125057_CCO8605231N4.xml</v>
      </c>
      <c r="AP757" t="s">
        <v>1463</v>
      </c>
      <c r="AQ757" t="s">
        <v>1464</v>
      </c>
      <c r="AR757" t="s">
        <v>1453</v>
      </c>
      <c r="AS757" t="s">
        <v>1454</v>
      </c>
      <c r="AT757" s="1">
        <v>44449</v>
      </c>
      <c r="AU757" t="s">
        <v>73</v>
      </c>
    </row>
    <row r="758" spans="1:47" x14ac:dyDescent="0.3">
      <c r="A758" t="s">
        <v>47</v>
      </c>
      <c r="B758" t="s">
        <v>224</v>
      </c>
      <c r="C758" t="s">
        <v>225</v>
      </c>
      <c r="D758">
        <v>753</v>
      </c>
      <c r="E758" t="s">
        <v>1445</v>
      </c>
      <c r="F758" t="s">
        <v>1250</v>
      </c>
      <c r="G758" t="s">
        <v>1446</v>
      </c>
      <c r="H758" t="s">
        <v>1460</v>
      </c>
      <c r="I758" t="s">
        <v>54</v>
      </c>
      <c r="J758" t="s">
        <v>1461</v>
      </c>
      <c r="K758" t="s">
        <v>56</v>
      </c>
      <c r="L758">
        <v>0</v>
      </c>
      <c r="M758" t="s">
        <v>73</v>
      </c>
      <c r="N758">
        <v>0</v>
      </c>
      <c r="O758" t="s">
        <v>58</v>
      </c>
      <c r="P758" t="s">
        <v>59</v>
      </c>
      <c r="Q758" t="s">
        <v>216</v>
      </c>
      <c r="R758" t="s">
        <v>1461</v>
      </c>
      <c r="S758" s="1">
        <v>44445</v>
      </c>
      <c r="T758" s="1">
        <v>44445</v>
      </c>
      <c r="U758">
        <v>37501</v>
      </c>
      <c r="V758" t="s">
        <v>61</v>
      </c>
      <c r="W758" t="s">
        <v>1462</v>
      </c>
      <c r="X758" s="1">
        <v>44446</v>
      </c>
      <c r="Y758" t="s">
        <v>100</v>
      </c>
      <c r="Z758">
        <v>258.63</v>
      </c>
      <c r="AA758">
        <v>16</v>
      </c>
      <c r="AB758">
        <v>41.37</v>
      </c>
      <c r="AC758">
        <v>30</v>
      </c>
      <c r="AD758">
        <v>330</v>
      </c>
      <c r="AE758">
        <v>448</v>
      </c>
      <c r="AF758">
        <v>545</v>
      </c>
      <c r="AG758" t="s">
        <v>1450</v>
      </c>
      <c r="AH758" t="s">
        <v>65</v>
      </c>
      <c r="AI758" t="s">
        <v>65</v>
      </c>
      <c r="AJ758" t="s">
        <v>66</v>
      </c>
      <c r="AK758" t="s">
        <v>66</v>
      </c>
      <c r="AL758" t="s">
        <v>66</v>
      </c>
      <c r="AM758" s="2" t="str">
        <f>HYPERLINK("https://transparencia.cidesi.mx/comprobantes/2021/CQ2100751 /C2F-37849_CMN1405161T5.pdf")</f>
        <v>https://transparencia.cidesi.mx/comprobantes/2021/CQ2100751 /C2F-37849_CMN1405161T5.pdf</v>
      </c>
      <c r="AN758" t="str">
        <f>HYPERLINK("https://transparencia.cidesi.mx/comprobantes/2021/CQ2100751 /C2F-37849_CMN1405161T5.pdf")</f>
        <v>https://transparencia.cidesi.mx/comprobantes/2021/CQ2100751 /C2F-37849_CMN1405161T5.pdf</v>
      </c>
      <c r="AO758" t="str">
        <f>HYPERLINK("https://transparencia.cidesi.mx/comprobantes/2021/CQ2100751 /C2F-37849_CMN1405161T5.xml")</f>
        <v>https://transparencia.cidesi.mx/comprobantes/2021/CQ2100751 /C2F-37849_CMN1405161T5.xml</v>
      </c>
      <c r="AP758" t="s">
        <v>1463</v>
      </c>
      <c r="AQ758" t="s">
        <v>1464</v>
      </c>
      <c r="AR758" t="s">
        <v>1453</v>
      </c>
      <c r="AS758" t="s">
        <v>1454</v>
      </c>
      <c r="AT758" s="1">
        <v>44449</v>
      </c>
      <c r="AU758" t="s">
        <v>73</v>
      </c>
    </row>
    <row r="759" spans="1:47" x14ac:dyDescent="0.3">
      <c r="A759" t="s">
        <v>47</v>
      </c>
      <c r="B759" t="s">
        <v>224</v>
      </c>
      <c r="C759" t="s">
        <v>225</v>
      </c>
      <c r="D759">
        <v>753</v>
      </c>
      <c r="E759" t="s">
        <v>1445</v>
      </c>
      <c r="F759" t="s">
        <v>1250</v>
      </c>
      <c r="G759" t="s">
        <v>1446</v>
      </c>
      <c r="H759" t="s">
        <v>1465</v>
      </c>
      <c r="I759" t="s">
        <v>54</v>
      </c>
      <c r="J759" t="s">
        <v>1466</v>
      </c>
      <c r="K759" t="s">
        <v>56</v>
      </c>
      <c r="L759">
        <v>0</v>
      </c>
      <c r="M759" t="s">
        <v>73</v>
      </c>
      <c r="N759">
        <v>0</v>
      </c>
      <c r="O759" t="s">
        <v>58</v>
      </c>
      <c r="P759" t="s">
        <v>59</v>
      </c>
      <c r="Q759" t="s">
        <v>216</v>
      </c>
      <c r="R759" t="s">
        <v>1466</v>
      </c>
      <c r="S759" s="1">
        <v>44446</v>
      </c>
      <c r="T759" s="1">
        <v>44446</v>
      </c>
      <c r="U759">
        <v>37501</v>
      </c>
      <c r="V759" t="s">
        <v>61</v>
      </c>
      <c r="W759" t="s">
        <v>1467</v>
      </c>
      <c r="X759" s="1">
        <v>44448</v>
      </c>
      <c r="Y759" t="s">
        <v>63</v>
      </c>
      <c r="Z759">
        <v>286.20999999999998</v>
      </c>
      <c r="AA759">
        <v>16</v>
      </c>
      <c r="AB759">
        <v>45.79</v>
      </c>
      <c r="AC759">
        <v>34</v>
      </c>
      <c r="AD759">
        <v>366</v>
      </c>
      <c r="AE759">
        <v>366</v>
      </c>
      <c r="AF759">
        <v>545</v>
      </c>
      <c r="AG759" t="s">
        <v>1450</v>
      </c>
      <c r="AH759" t="s">
        <v>65</v>
      </c>
      <c r="AI759" t="s">
        <v>65</v>
      </c>
      <c r="AJ759" t="s">
        <v>66</v>
      </c>
      <c r="AK759" t="s">
        <v>66</v>
      </c>
      <c r="AL759" t="s">
        <v>66</v>
      </c>
      <c r="AM759" s="2" t="str">
        <f>HYPERLINK("https://transparencia.cidesi.mx/comprobantes/2021/CQ2100768 /C1F0000019483_SGI140703AN8.pdf")</f>
        <v>https://transparencia.cidesi.mx/comprobantes/2021/CQ2100768 /C1F0000019483_SGI140703AN8.pdf</v>
      </c>
      <c r="AN759" t="str">
        <f>HYPERLINK("https://transparencia.cidesi.mx/comprobantes/2021/CQ2100768 /C1F0000019483_SGI140703AN8.pdf")</f>
        <v>https://transparencia.cidesi.mx/comprobantes/2021/CQ2100768 /C1F0000019483_SGI140703AN8.pdf</v>
      </c>
      <c r="AO759" t="str">
        <f>HYPERLINK("https://transparencia.cidesi.mx/comprobantes/2021/CQ2100768 /C1F0000019483_SGI140703AN8.xml")</f>
        <v>https://transparencia.cidesi.mx/comprobantes/2021/CQ2100768 /C1F0000019483_SGI140703AN8.xml</v>
      </c>
      <c r="AP759" t="s">
        <v>1468</v>
      </c>
      <c r="AQ759" t="s">
        <v>1469</v>
      </c>
      <c r="AR759" t="s">
        <v>1453</v>
      </c>
      <c r="AS759" t="s">
        <v>1454</v>
      </c>
      <c r="AT759" s="1">
        <v>44449</v>
      </c>
      <c r="AU759" s="1">
        <v>44452</v>
      </c>
    </row>
    <row r="760" spans="1:47" x14ac:dyDescent="0.3">
      <c r="A760" t="s">
        <v>47</v>
      </c>
      <c r="B760" t="s">
        <v>224</v>
      </c>
      <c r="C760" t="s">
        <v>225</v>
      </c>
      <c r="D760">
        <v>753</v>
      </c>
      <c r="E760" t="s">
        <v>1445</v>
      </c>
      <c r="F760" t="s">
        <v>1250</v>
      </c>
      <c r="G760" t="s">
        <v>1446</v>
      </c>
      <c r="H760" t="s">
        <v>1470</v>
      </c>
      <c r="I760" t="s">
        <v>54</v>
      </c>
      <c r="J760" t="s">
        <v>1471</v>
      </c>
      <c r="K760" t="s">
        <v>56</v>
      </c>
      <c r="L760">
        <v>0</v>
      </c>
      <c r="M760" t="s">
        <v>73</v>
      </c>
      <c r="N760">
        <v>0</v>
      </c>
      <c r="O760" t="s">
        <v>58</v>
      </c>
      <c r="P760" t="s">
        <v>59</v>
      </c>
      <c r="Q760" t="s">
        <v>1049</v>
      </c>
      <c r="R760" t="s">
        <v>1471</v>
      </c>
      <c r="S760" s="1">
        <v>44447</v>
      </c>
      <c r="T760" s="1">
        <v>44453</v>
      </c>
      <c r="U760">
        <v>37501</v>
      </c>
      <c r="V760" t="s">
        <v>61</v>
      </c>
      <c r="W760" t="s">
        <v>1472</v>
      </c>
      <c r="X760" s="1">
        <v>44459</v>
      </c>
      <c r="Y760" t="s">
        <v>207</v>
      </c>
      <c r="Z760">
        <v>312.93</v>
      </c>
      <c r="AA760">
        <v>16</v>
      </c>
      <c r="AB760">
        <v>50.07</v>
      </c>
      <c r="AC760">
        <v>36.299999999999997</v>
      </c>
      <c r="AD760">
        <v>399.3</v>
      </c>
      <c r="AE760">
        <v>5907.77</v>
      </c>
      <c r="AF760">
        <v>7988</v>
      </c>
      <c r="AG760" t="s">
        <v>1450</v>
      </c>
      <c r="AH760" t="s">
        <v>65</v>
      </c>
      <c r="AI760" t="s">
        <v>65</v>
      </c>
      <c r="AJ760" t="s">
        <v>66</v>
      </c>
      <c r="AK760" t="s">
        <v>66</v>
      </c>
      <c r="AL760" t="s">
        <v>66</v>
      </c>
      <c r="AM760" s="2" t="str">
        <f>HYPERLINK("https://transparencia.cidesi.mx/comprobantes/2021/CQ2100841 /C138223_RORR791119M94.pdf")</f>
        <v>https://transparencia.cidesi.mx/comprobantes/2021/CQ2100841 /C138223_RORR791119M94.pdf</v>
      </c>
      <c r="AN760" t="str">
        <f>HYPERLINK("https://transparencia.cidesi.mx/comprobantes/2021/CQ2100841 /C138223_RORR791119M94.pdf")</f>
        <v>https://transparencia.cidesi.mx/comprobantes/2021/CQ2100841 /C138223_RORR791119M94.pdf</v>
      </c>
      <c r="AO760" t="str">
        <f>HYPERLINK("https://transparencia.cidesi.mx/comprobantes/2021/CQ2100841 /C138223_RORR791119M94.xml")</f>
        <v>https://transparencia.cidesi.mx/comprobantes/2021/CQ2100841 /C138223_RORR791119M94.xml</v>
      </c>
      <c r="AP760" t="s">
        <v>1473</v>
      </c>
      <c r="AQ760" t="s">
        <v>1474</v>
      </c>
      <c r="AR760" t="s">
        <v>1475</v>
      </c>
      <c r="AS760" t="s">
        <v>1476</v>
      </c>
      <c r="AT760" s="1">
        <v>44461</v>
      </c>
      <c r="AU760" t="s">
        <v>73</v>
      </c>
    </row>
    <row r="761" spans="1:47" x14ac:dyDescent="0.3">
      <c r="A761" t="s">
        <v>47</v>
      </c>
      <c r="B761" t="s">
        <v>224</v>
      </c>
      <c r="C761" t="s">
        <v>225</v>
      </c>
      <c r="D761">
        <v>753</v>
      </c>
      <c r="E761" t="s">
        <v>1445</v>
      </c>
      <c r="F761" t="s">
        <v>1250</v>
      </c>
      <c r="G761" t="s">
        <v>1446</v>
      </c>
      <c r="H761" t="s">
        <v>1470</v>
      </c>
      <c r="I761" t="s">
        <v>54</v>
      </c>
      <c r="J761" t="s">
        <v>1471</v>
      </c>
      <c r="K761" t="s">
        <v>56</v>
      </c>
      <c r="L761">
        <v>0</v>
      </c>
      <c r="M761" t="s">
        <v>73</v>
      </c>
      <c r="N761">
        <v>0</v>
      </c>
      <c r="O761" t="s">
        <v>58</v>
      </c>
      <c r="P761" t="s">
        <v>59</v>
      </c>
      <c r="Q761" t="s">
        <v>1049</v>
      </c>
      <c r="R761" t="s">
        <v>1471</v>
      </c>
      <c r="S761" s="1">
        <v>44447</v>
      </c>
      <c r="T761" s="1">
        <v>44453</v>
      </c>
      <c r="U761">
        <v>37501</v>
      </c>
      <c r="V761" t="s">
        <v>104</v>
      </c>
      <c r="W761" t="s">
        <v>1472</v>
      </c>
      <c r="X761" s="1">
        <v>44459</v>
      </c>
      <c r="Y761" t="s">
        <v>207</v>
      </c>
      <c r="Z761">
        <v>562.61</v>
      </c>
      <c r="AA761">
        <v>16</v>
      </c>
      <c r="AB761">
        <v>87.4</v>
      </c>
      <c r="AC761">
        <v>0</v>
      </c>
      <c r="AD761">
        <v>650.01</v>
      </c>
      <c r="AE761">
        <v>5907.77</v>
      </c>
      <c r="AF761">
        <v>7988</v>
      </c>
      <c r="AG761" t="s">
        <v>1477</v>
      </c>
      <c r="AH761" t="s">
        <v>65</v>
      </c>
      <c r="AI761" t="s">
        <v>65</v>
      </c>
      <c r="AJ761" t="s">
        <v>66</v>
      </c>
      <c r="AK761" t="s">
        <v>66</v>
      </c>
      <c r="AL761" t="s">
        <v>66</v>
      </c>
      <c r="AM761" s="2" t="str">
        <f>HYPERLINK("https://transparencia.cidesi.mx/comprobantes/2021/CQ2100841 /C2FF44440_AAPA610627RC0.pdf")</f>
        <v>https://transparencia.cidesi.mx/comprobantes/2021/CQ2100841 /C2FF44440_AAPA610627RC0.pdf</v>
      </c>
      <c r="AN761" t="str">
        <f>HYPERLINK("https://transparencia.cidesi.mx/comprobantes/2021/CQ2100841 /C2FF44440_AAPA610627RC0.pdf")</f>
        <v>https://transparencia.cidesi.mx/comprobantes/2021/CQ2100841 /C2FF44440_AAPA610627RC0.pdf</v>
      </c>
      <c r="AO761" t="str">
        <f>HYPERLINK("https://transparencia.cidesi.mx/comprobantes/2021/CQ2100841 /C2FF44440_AAPA610627RC0.xml")</f>
        <v>https://transparencia.cidesi.mx/comprobantes/2021/CQ2100841 /C2FF44440_AAPA610627RC0.xml</v>
      </c>
      <c r="AP761" t="s">
        <v>1473</v>
      </c>
      <c r="AQ761" t="s">
        <v>1474</v>
      </c>
      <c r="AR761" t="s">
        <v>1475</v>
      </c>
      <c r="AS761" t="s">
        <v>1476</v>
      </c>
      <c r="AT761" s="1">
        <v>44461</v>
      </c>
      <c r="AU761" t="s">
        <v>73</v>
      </c>
    </row>
    <row r="762" spans="1:47" x14ac:dyDescent="0.3">
      <c r="A762" t="s">
        <v>47</v>
      </c>
      <c r="B762" t="s">
        <v>224</v>
      </c>
      <c r="C762" t="s">
        <v>225</v>
      </c>
      <c r="D762">
        <v>753</v>
      </c>
      <c r="E762" t="s">
        <v>1445</v>
      </c>
      <c r="F762" t="s">
        <v>1250</v>
      </c>
      <c r="G762" t="s">
        <v>1446</v>
      </c>
      <c r="H762" t="s">
        <v>1470</v>
      </c>
      <c r="I762" t="s">
        <v>54</v>
      </c>
      <c r="J762" t="s">
        <v>1471</v>
      </c>
      <c r="K762" t="s">
        <v>56</v>
      </c>
      <c r="L762">
        <v>0</v>
      </c>
      <c r="M762" t="s">
        <v>73</v>
      </c>
      <c r="N762">
        <v>0</v>
      </c>
      <c r="O762" t="s">
        <v>58</v>
      </c>
      <c r="P762" t="s">
        <v>59</v>
      </c>
      <c r="Q762" t="s">
        <v>1049</v>
      </c>
      <c r="R762" t="s">
        <v>1471</v>
      </c>
      <c r="S762" s="1">
        <v>44447</v>
      </c>
      <c r="T762" s="1">
        <v>44453</v>
      </c>
      <c r="U762">
        <v>37501</v>
      </c>
      <c r="V762" t="s">
        <v>61</v>
      </c>
      <c r="W762" t="s">
        <v>1472</v>
      </c>
      <c r="X762" s="1">
        <v>44459</v>
      </c>
      <c r="Y762" t="s">
        <v>207</v>
      </c>
      <c r="Z762">
        <v>103.45</v>
      </c>
      <c r="AA762">
        <v>16</v>
      </c>
      <c r="AB762">
        <v>16.55</v>
      </c>
      <c r="AC762">
        <v>0</v>
      </c>
      <c r="AD762">
        <v>120</v>
      </c>
      <c r="AE762">
        <v>5907.77</v>
      </c>
      <c r="AF762">
        <v>7988</v>
      </c>
      <c r="AG762" t="s">
        <v>1450</v>
      </c>
      <c r="AH762" t="s">
        <v>66</v>
      </c>
      <c r="AI762" t="s">
        <v>65</v>
      </c>
      <c r="AJ762" t="s">
        <v>66</v>
      </c>
      <c r="AK762" t="s">
        <v>66</v>
      </c>
      <c r="AL762" t="s">
        <v>66</v>
      </c>
      <c r="AM762" s="2" t="str">
        <f>HYPERLINK("https://transparencia.cidesi.mx/comprobantes/2021/CQ2100841 /C3PETJ5405169E4_C0000003355.pdf")</f>
        <v>https://transparencia.cidesi.mx/comprobantes/2021/CQ2100841 /C3PETJ5405169E4_C0000003355.pdf</v>
      </c>
      <c r="AN762" t="str">
        <f>HYPERLINK("https://transparencia.cidesi.mx/comprobantes/2021/CQ2100841 /C3PETJ5405169E4_C0000003355.pdf")</f>
        <v>https://transparencia.cidesi.mx/comprobantes/2021/CQ2100841 /C3PETJ5405169E4_C0000003355.pdf</v>
      </c>
      <c r="AO762" t="str">
        <f>HYPERLINK("https://transparencia.cidesi.mx/comprobantes/2021/CQ2100841 /C3PETJ5405169E4_C0000003355.xml")</f>
        <v>https://transparencia.cidesi.mx/comprobantes/2021/CQ2100841 /C3PETJ5405169E4_C0000003355.xml</v>
      </c>
      <c r="AP762" t="s">
        <v>1473</v>
      </c>
      <c r="AQ762" t="s">
        <v>1474</v>
      </c>
      <c r="AR762" t="s">
        <v>1475</v>
      </c>
      <c r="AS762" t="s">
        <v>1476</v>
      </c>
      <c r="AT762" s="1">
        <v>44461</v>
      </c>
      <c r="AU762" t="s">
        <v>73</v>
      </c>
    </row>
    <row r="763" spans="1:47" x14ac:dyDescent="0.3">
      <c r="A763" t="s">
        <v>47</v>
      </c>
      <c r="B763" t="s">
        <v>224</v>
      </c>
      <c r="C763" t="s">
        <v>225</v>
      </c>
      <c r="D763">
        <v>753</v>
      </c>
      <c r="E763" t="s">
        <v>1445</v>
      </c>
      <c r="F763" t="s">
        <v>1250</v>
      </c>
      <c r="G763" t="s">
        <v>1446</v>
      </c>
      <c r="H763" t="s">
        <v>1470</v>
      </c>
      <c r="I763" t="s">
        <v>54</v>
      </c>
      <c r="J763" t="s">
        <v>1471</v>
      </c>
      <c r="K763" t="s">
        <v>56</v>
      </c>
      <c r="L763">
        <v>0</v>
      </c>
      <c r="M763" t="s">
        <v>73</v>
      </c>
      <c r="N763">
        <v>0</v>
      </c>
      <c r="O763" t="s">
        <v>58</v>
      </c>
      <c r="P763" t="s">
        <v>59</v>
      </c>
      <c r="Q763" t="s">
        <v>1049</v>
      </c>
      <c r="R763" t="s">
        <v>1471</v>
      </c>
      <c r="S763" s="1">
        <v>44447</v>
      </c>
      <c r="T763" s="1">
        <v>44453</v>
      </c>
      <c r="U763">
        <v>37501</v>
      </c>
      <c r="V763" t="s">
        <v>61</v>
      </c>
      <c r="W763" t="s">
        <v>1472</v>
      </c>
      <c r="X763" s="1">
        <v>44459</v>
      </c>
      <c r="Y763" t="s">
        <v>207</v>
      </c>
      <c r="Z763">
        <v>146.55000000000001</v>
      </c>
      <c r="AA763">
        <v>16</v>
      </c>
      <c r="AB763">
        <v>23.45</v>
      </c>
      <c r="AC763">
        <v>17</v>
      </c>
      <c r="AD763">
        <v>187</v>
      </c>
      <c r="AE763">
        <v>5907.77</v>
      </c>
      <c r="AF763">
        <v>7988</v>
      </c>
      <c r="AG763" t="s">
        <v>1450</v>
      </c>
      <c r="AH763" t="s">
        <v>65</v>
      </c>
      <c r="AI763" t="s">
        <v>65</v>
      </c>
      <c r="AJ763" t="s">
        <v>66</v>
      </c>
      <c r="AK763" t="s">
        <v>66</v>
      </c>
      <c r="AL763" t="s">
        <v>66</v>
      </c>
      <c r="AM763" s="2" t="str">
        <f>HYPERLINK("https://transparencia.cidesi.mx/comprobantes/2021/CQ2100841 /C41TIWEBDF000006567118_RTO840921RE4.pdf")</f>
        <v>https://transparencia.cidesi.mx/comprobantes/2021/CQ2100841 /C41TIWEBDF000006567118_RTO840921RE4.pdf</v>
      </c>
      <c r="AN763" t="str">
        <f>HYPERLINK("https://transparencia.cidesi.mx/comprobantes/2021/CQ2100841 /C41TIWEBDF000006567118_RTO840921RE4.pdf")</f>
        <v>https://transparencia.cidesi.mx/comprobantes/2021/CQ2100841 /C41TIWEBDF000006567118_RTO840921RE4.pdf</v>
      </c>
      <c r="AO763" t="str">
        <f>HYPERLINK("https://transparencia.cidesi.mx/comprobantes/2021/CQ2100841 /C41TIWEBDF000006567118_RTO840921RE4.xml")</f>
        <v>https://transparencia.cidesi.mx/comprobantes/2021/CQ2100841 /C41TIWEBDF000006567118_RTO840921RE4.xml</v>
      </c>
      <c r="AP763" t="s">
        <v>1473</v>
      </c>
      <c r="AQ763" t="s">
        <v>1474</v>
      </c>
      <c r="AR763" t="s">
        <v>1475</v>
      </c>
      <c r="AS763" t="s">
        <v>1476</v>
      </c>
      <c r="AT763" s="1">
        <v>44461</v>
      </c>
      <c r="AU763" t="s">
        <v>73</v>
      </c>
    </row>
    <row r="764" spans="1:47" x14ac:dyDescent="0.3">
      <c r="A764" t="s">
        <v>47</v>
      </c>
      <c r="B764" t="s">
        <v>224</v>
      </c>
      <c r="C764" t="s">
        <v>225</v>
      </c>
      <c r="D764">
        <v>753</v>
      </c>
      <c r="E764" t="s">
        <v>1445</v>
      </c>
      <c r="F764" t="s">
        <v>1250</v>
      </c>
      <c r="G764" t="s">
        <v>1446</v>
      </c>
      <c r="H764" t="s">
        <v>1470</v>
      </c>
      <c r="I764" t="s">
        <v>54</v>
      </c>
      <c r="J764" t="s">
        <v>1471</v>
      </c>
      <c r="K764" t="s">
        <v>56</v>
      </c>
      <c r="L764">
        <v>0</v>
      </c>
      <c r="M764" t="s">
        <v>73</v>
      </c>
      <c r="N764">
        <v>0</v>
      </c>
      <c r="O764" t="s">
        <v>58</v>
      </c>
      <c r="P764" t="s">
        <v>59</v>
      </c>
      <c r="Q764" t="s">
        <v>1049</v>
      </c>
      <c r="R764" t="s">
        <v>1471</v>
      </c>
      <c r="S764" s="1">
        <v>44447</v>
      </c>
      <c r="T764" s="1">
        <v>44453</v>
      </c>
      <c r="U764">
        <v>37501</v>
      </c>
      <c r="V764" t="s">
        <v>61</v>
      </c>
      <c r="W764" t="s">
        <v>1472</v>
      </c>
      <c r="X764" s="1">
        <v>44459</v>
      </c>
      <c r="Y764" t="s">
        <v>207</v>
      </c>
      <c r="Z764">
        <v>216.38</v>
      </c>
      <c r="AA764">
        <v>16</v>
      </c>
      <c r="AB764">
        <v>34.619999999999997</v>
      </c>
      <c r="AC764">
        <v>25.1</v>
      </c>
      <c r="AD764">
        <v>276.10000000000002</v>
      </c>
      <c r="AE764">
        <v>5907.77</v>
      </c>
      <c r="AF764">
        <v>7988</v>
      </c>
      <c r="AG764" t="s">
        <v>1450</v>
      </c>
      <c r="AH764" t="s">
        <v>65</v>
      </c>
      <c r="AI764" t="s">
        <v>65</v>
      </c>
      <c r="AJ764" t="s">
        <v>66</v>
      </c>
      <c r="AK764" t="s">
        <v>66</v>
      </c>
      <c r="AL764" t="s">
        <v>66</v>
      </c>
      <c r="AM764" s="2" t="str">
        <f>HYPERLINK("https://transparencia.cidesi.mx/comprobantes/2021/CQ2100841 /C52056_SABE6204023D7.pdf")</f>
        <v>https://transparencia.cidesi.mx/comprobantes/2021/CQ2100841 /C52056_SABE6204023D7.pdf</v>
      </c>
      <c r="AN764" t="str">
        <f>HYPERLINK("https://transparencia.cidesi.mx/comprobantes/2021/CQ2100841 /C52056_SABE6204023D7.pdf")</f>
        <v>https://transparencia.cidesi.mx/comprobantes/2021/CQ2100841 /C52056_SABE6204023D7.pdf</v>
      </c>
      <c r="AO764" t="str">
        <f>HYPERLINK("https://transparencia.cidesi.mx/comprobantes/2021/CQ2100841 /C52056_SABE6204023D7.xml")</f>
        <v>https://transparencia.cidesi.mx/comprobantes/2021/CQ2100841 /C52056_SABE6204023D7.xml</v>
      </c>
      <c r="AP764" t="s">
        <v>1473</v>
      </c>
      <c r="AQ764" t="s">
        <v>1474</v>
      </c>
      <c r="AR764" t="s">
        <v>1475</v>
      </c>
      <c r="AS764" t="s">
        <v>1476</v>
      </c>
      <c r="AT764" s="1">
        <v>44461</v>
      </c>
      <c r="AU764" t="s">
        <v>73</v>
      </c>
    </row>
    <row r="765" spans="1:47" x14ac:dyDescent="0.3">
      <c r="A765" t="s">
        <v>47</v>
      </c>
      <c r="B765" t="s">
        <v>224</v>
      </c>
      <c r="C765" t="s">
        <v>225</v>
      </c>
      <c r="D765">
        <v>753</v>
      </c>
      <c r="E765" t="s">
        <v>1445</v>
      </c>
      <c r="F765" t="s">
        <v>1250</v>
      </c>
      <c r="G765" t="s">
        <v>1446</v>
      </c>
      <c r="H765" t="s">
        <v>1470</v>
      </c>
      <c r="I765" t="s">
        <v>54</v>
      </c>
      <c r="J765" t="s">
        <v>1471</v>
      </c>
      <c r="K765" t="s">
        <v>56</v>
      </c>
      <c r="L765">
        <v>0</v>
      </c>
      <c r="M765" t="s">
        <v>73</v>
      </c>
      <c r="N765">
        <v>0</v>
      </c>
      <c r="O765" t="s">
        <v>58</v>
      </c>
      <c r="P765" t="s">
        <v>59</v>
      </c>
      <c r="Q765" t="s">
        <v>1049</v>
      </c>
      <c r="R765" t="s">
        <v>1471</v>
      </c>
      <c r="S765" s="1">
        <v>44447</v>
      </c>
      <c r="T765" s="1">
        <v>44453</v>
      </c>
      <c r="U765">
        <v>37501</v>
      </c>
      <c r="V765" t="s">
        <v>61</v>
      </c>
      <c r="W765" t="s">
        <v>1472</v>
      </c>
      <c r="X765" s="1">
        <v>44459</v>
      </c>
      <c r="Y765" t="s">
        <v>207</v>
      </c>
      <c r="Z765">
        <v>101.66</v>
      </c>
      <c r="AA765">
        <v>16</v>
      </c>
      <c r="AB765">
        <v>4.34</v>
      </c>
      <c r="AC765">
        <v>0</v>
      </c>
      <c r="AD765">
        <v>106</v>
      </c>
      <c r="AE765">
        <v>5907.77</v>
      </c>
      <c r="AF765">
        <v>7988</v>
      </c>
      <c r="AG765" t="s">
        <v>1450</v>
      </c>
      <c r="AH765" t="s">
        <v>65</v>
      </c>
      <c r="AI765" t="s">
        <v>65</v>
      </c>
      <c r="AJ765" t="s">
        <v>66</v>
      </c>
      <c r="AK765" t="s">
        <v>66</v>
      </c>
      <c r="AL765" t="s">
        <v>66</v>
      </c>
      <c r="AM765" s="2" t="str">
        <f>HYPERLINK("https://transparencia.cidesi.mx/comprobantes/2021/CQ2100841 /C6344657935_CCO8605231N4.pdf")</f>
        <v>https://transparencia.cidesi.mx/comprobantes/2021/CQ2100841 /C6344657935_CCO8605231N4.pdf</v>
      </c>
      <c r="AN765" t="str">
        <f>HYPERLINK("https://transparencia.cidesi.mx/comprobantes/2021/CQ2100841 /C6344657935_CCO8605231N4.pdf")</f>
        <v>https://transparencia.cidesi.mx/comprobantes/2021/CQ2100841 /C6344657935_CCO8605231N4.pdf</v>
      </c>
      <c r="AO765" t="str">
        <f>HYPERLINK("https://transparencia.cidesi.mx/comprobantes/2021/CQ2100841 /C6344657935_CCO8605231N4.xml")</f>
        <v>https://transparencia.cidesi.mx/comprobantes/2021/CQ2100841 /C6344657935_CCO8605231N4.xml</v>
      </c>
      <c r="AP765" t="s">
        <v>1473</v>
      </c>
      <c r="AQ765" t="s">
        <v>1474</v>
      </c>
      <c r="AR765" t="s">
        <v>1475</v>
      </c>
      <c r="AS765" t="s">
        <v>1476</v>
      </c>
      <c r="AT765" s="1">
        <v>44461</v>
      </c>
      <c r="AU765" t="s">
        <v>73</v>
      </c>
    </row>
    <row r="766" spans="1:47" x14ac:dyDescent="0.3">
      <c r="A766" t="s">
        <v>47</v>
      </c>
      <c r="B766" t="s">
        <v>224</v>
      </c>
      <c r="C766" t="s">
        <v>225</v>
      </c>
      <c r="D766">
        <v>753</v>
      </c>
      <c r="E766" t="s">
        <v>1445</v>
      </c>
      <c r="F766" t="s">
        <v>1250</v>
      </c>
      <c r="G766" t="s">
        <v>1446</v>
      </c>
      <c r="H766" t="s">
        <v>1470</v>
      </c>
      <c r="I766" t="s">
        <v>54</v>
      </c>
      <c r="J766" t="s">
        <v>1471</v>
      </c>
      <c r="K766" t="s">
        <v>56</v>
      </c>
      <c r="L766">
        <v>0</v>
      </c>
      <c r="M766" t="s">
        <v>73</v>
      </c>
      <c r="N766">
        <v>0</v>
      </c>
      <c r="O766" t="s">
        <v>58</v>
      </c>
      <c r="P766" t="s">
        <v>59</v>
      </c>
      <c r="Q766" t="s">
        <v>1049</v>
      </c>
      <c r="R766" t="s">
        <v>1471</v>
      </c>
      <c r="S766" s="1">
        <v>44447</v>
      </c>
      <c r="T766" s="1">
        <v>44453</v>
      </c>
      <c r="U766">
        <v>37501</v>
      </c>
      <c r="V766" t="s">
        <v>104</v>
      </c>
      <c r="W766" t="s">
        <v>1472</v>
      </c>
      <c r="X766" s="1">
        <v>44459</v>
      </c>
      <c r="Y766" t="s">
        <v>207</v>
      </c>
      <c r="Z766">
        <v>1940.56</v>
      </c>
      <c r="AA766">
        <v>16</v>
      </c>
      <c r="AB766">
        <v>301.45</v>
      </c>
      <c r="AC766">
        <v>0</v>
      </c>
      <c r="AD766">
        <v>2242.0100000000002</v>
      </c>
      <c r="AE766">
        <v>5907.77</v>
      </c>
      <c r="AF766">
        <v>7988</v>
      </c>
      <c r="AG766" t="s">
        <v>1477</v>
      </c>
      <c r="AH766" t="s">
        <v>65</v>
      </c>
      <c r="AI766" t="s">
        <v>65</v>
      </c>
      <c r="AJ766" t="s">
        <v>66</v>
      </c>
      <c r="AK766" t="s">
        <v>66</v>
      </c>
      <c r="AL766" t="s">
        <v>66</v>
      </c>
      <c r="AM766" s="2" t="str">
        <f>HYPERLINK("https://transparencia.cidesi.mx/comprobantes/2021/CQ2100841 /C7FM3258_HAC171218L60.pdf")</f>
        <v>https://transparencia.cidesi.mx/comprobantes/2021/CQ2100841 /C7FM3258_HAC171218L60.pdf</v>
      </c>
      <c r="AN766" t="str">
        <f>HYPERLINK("https://transparencia.cidesi.mx/comprobantes/2021/CQ2100841 /C7FM3258_HAC171218L60.pdf")</f>
        <v>https://transparencia.cidesi.mx/comprobantes/2021/CQ2100841 /C7FM3258_HAC171218L60.pdf</v>
      </c>
      <c r="AO766" t="str">
        <f>HYPERLINK("https://transparencia.cidesi.mx/comprobantes/2021/CQ2100841 /C7FM3258_HAC171218L60.xml")</f>
        <v>https://transparencia.cidesi.mx/comprobantes/2021/CQ2100841 /C7FM3258_HAC171218L60.xml</v>
      </c>
      <c r="AP766" t="s">
        <v>1473</v>
      </c>
      <c r="AQ766" t="s">
        <v>1474</v>
      </c>
      <c r="AR766" t="s">
        <v>1475</v>
      </c>
      <c r="AS766" t="s">
        <v>1476</v>
      </c>
      <c r="AT766" s="1">
        <v>44461</v>
      </c>
      <c r="AU766" t="s">
        <v>73</v>
      </c>
    </row>
    <row r="767" spans="1:47" x14ac:dyDescent="0.3">
      <c r="A767" t="s">
        <v>47</v>
      </c>
      <c r="B767" t="s">
        <v>224</v>
      </c>
      <c r="C767" t="s">
        <v>225</v>
      </c>
      <c r="D767">
        <v>753</v>
      </c>
      <c r="E767" t="s">
        <v>1445</v>
      </c>
      <c r="F767" t="s">
        <v>1250</v>
      </c>
      <c r="G767" t="s">
        <v>1446</v>
      </c>
      <c r="H767" t="s">
        <v>1470</v>
      </c>
      <c r="I767" t="s">
        <v>54</v>
      </c>
      <c r="J767" t="s">
        <v>1471</v>
      </c>
      <c r="K767" t="s">
        <v>56</v>
      </c>
      <c r="L767">
        <v>0</v>
      </c>
      <c r="M767" t="s">
        <v>73</v>
      </c>
      <c r="N767">
        <v>0</v>
      </c>
      <c r="O767" t="s">
        <v>58</v>
      </c>
      <c r="P767" t="s">
        <v>59</v>
      </c>
      <c r="Q767" t="s">
        <v>1049</v>
      </c>
      <c r="R767" t="s">
        <v>1471</v>
      </c>
      <c r="S767" s="1">
        <v>44447</v>
      </c>
      <c r="T767" s="1">
        <v>44453</v>
      </c>
      <c r="U767">
        <v>37501</v>
      </c>
      <c r="V767" t="s">
        <v>61</v>
      </c>
      <c r="W767" t="s">
        <v>1472</v>
      </c>
      <c r="X767" s="1">
        <v>44459</v>
      </c>
      <c r="Y767" t="s">
        <v>207</v>
      </c>
      <c r="Z767">
        <v>138.79</v>
      </c>
      <c r="AA767">
        <v>16</v>
      </c>
      <c r="AB767">
        <v>22.21</v>
      </c>
      <c r="AC767">
        <v>16.100000000000001</v>
      </c>
      <c r="AD767">
        <v>177.1</v>
      </c>
      <c r="AE767">
        <v>5907.77</v>
      </c>
      <c r="AF767">
        <v>7988</v>
      </c>
      <c r="AG767" t="s">
        <v>1450</v>
      </c>
      <c r="AH767" t="s">
        <v>65</v>
      </c>
      <c r="AI767" t="s">
        <v>65</v>
      </c>
      <c r="AJ767" t="s">
        <v>66</v>
      </c>
      <c r="AK767" t="s">
        <v>66</v>
      </c>
      <c r="AL767" t="s">
        <v>66</v>
      </c>
      <c r="AM767" s="2" t="str">
        <f>HYPERLINK("https://transparencia.cidesi.mx/comprobantes/2021/CQ2100841 /C81TIWEBDF000006567132_RTO840921RE4.pdf")</f>
        <v>https://transparencia.cidesi.mx/comprobantes/2021/CQ2100841 /C81TIWEBDF000006567132_RTO840921RE4.pdf</v>
      </c>
      <c r="AN767" t="str">
        <f>HYPERLINK("https://transparencia.cidesi.mx/comprobantes/2021/CQ2100841 /C81TIWEBDF000006567132_RTO840921RE4.pdf")</f>
        <v>https://transparencia.cidesi.mx/comprobantes/2021/CQ2100841 /C81TIWEBDF000006567132_RTO840921RE4.pdf</v>
      </c>
      <c r="AO767" t="str">
        <f>HYPERLINK("https://transparencia.cidesi.mx/comprobantes/2021/CQ2100841 /C81TIWEBDF000006567132_RTO840921RE4.xml")</f>
        <v>https://transparencia.cidesi.mx/comprobantes/2021/CQ2100841 /C81TIWEBDF000006567132_RTO840921RE4.xml</v>
      </c>
      <c r="AP767" t="s">
        <v>1473</v>
      </c>
      <c r="AQ767" t="s">
        <v>1474</v>
      </c>
      <c r="AR767" t="s">
        <v>1475</v>
      </c>
      <c r="AS767" t="s">
        <v>1476</v>
      </c>
      <c r="AT767" s="1">
        <v>44461</v>
      </c>
      <c r="AU767" t="s">
        <v>73</v>
      </c>
    </row>
    <row r="768" spans="1:47" x14ac:dyDescent="0.3">
      <c r="A768" t="s">
        <v>47</v>
      </c>
      <c r="B768" t="s">
        <v>224</v>
      </c>
      <c r="C768" t="s">
        <v>225</v>
      </c>
      <c r="D768">
        <v>753</v>
      </c>
      <c r="E768" t="s">
        <v>1445</v>
      </c>
      <c r="F768" t="s">
        <v>1250</v>
      </c>
      <c r="G768" t="s">
        <v>1446</v>
      </c>
      <c r="H768" t="s">
        <v>1470</v>
      </c>
      <c r="I768" t="s">
        <v>54</v>
      </c>
      <c r="J768" t="s">
        <v>1471</v>
      </c>
      <c r="K768" t="s">
        <v>56</v>
      </c>
      <c r="L768">
        <v>0</v>
      </c>
      <c r="M768" t="s">
        <v>73</v>
      </c>
      <c r="N768">
        <v>0</v>
      </c>
      <c r="O768" t="s">
        <v>58</v>
      </c>
      <c r="P768" t="s">
        <v>59</v>
      </c>
      <c r="Q768" t="s">
        <v>1049</v>
      </c>
      <c r="R768" t="s">
        <v>1471</v>
      </c>
      <c r="S768" s="1">
        <v>44447</v>
      </c>
      <c r="T768" s="1">
        <v>44453</v>
      </c>
      <c r="U768">
        <v>37501</v>
      </c>
      <c r="V768" t="s">
        <v>61</v>
      </c>
      <c r="W768" t="s">
        <v>1472</v>
      </c>
      <c r="X768" s="1">
        <v>44459</v>
      </c>
      <c r="Y768" t="s">
        <v>207</v>
      </c>
      <c r="Z768">
        <v>88.97</v>
      </c>
      <c r="AA768">
        <v>16</v>
      </c>
      <c r="AB768">
        <v>3.03</v>
      </c>
      <c r="AC768">
        <v>0</v>
      </c>
      <c r="AD768">
        <v>92</v>
      </c>
      <c r="AE768">
        <v>5907.77</v>
      </c>
      <c r="AF768">
        <v>7988</v>
      </c>
      <c r="AG768" t="s">
        <v>1450</v>
      </c>
      <c r="AH768" t="s">
        <v>65</v>
      </c>
      <c r="AI768" t="s">
        <v>65</v>
      </c>
      <c r="AJ768" t="s">
        <v>66</v>
      </c>
      <c r="AK768" t="s">
        <v>66</v>
      </c>
      <c r="AL768" t="s">
        <v>66</v>
      </c>
      <c r="AM768" s="2" t="str">
        <f>HYPERLINK("https://transparencia.cidesi.mx/comprobantes/2021/CQ2100841 /C9344658299_CCO8605231N4.pdf")</f>
        <v>https://transparencia.cidesi.mx/comprobantes/2021/CQ2100841 /C9344658299_CCO8605231N4.pdf</v>
      </c>
      <c r="AN768" t="str">
        <f>HYPERLINK("https://transparencia.cidesi.mx/comprobantes/2021/CQ2100841 /C9344658299_CCO8605231N4.pdf")</f>
        <v>https://transparencia.cidesi.mx/comprobantes/2021/CQ2100841 /C9344658299_CCO8605231N4.pdf</v>
      </c>
      <c r="AO768" t="str">
        <f>HYPERLINK("https://transparencia.cidesi.mx/comprobantes/2021/CQ2100841 /C9344658299_CCO8605231N4.xml")</f>
        <v>https://transparencia.cidesi.mx/comprobantes/2021/CQ2100841 /C9344658299_CCO8605231N4.xml</v>
      </c>
      <c r="AP768" t="s">
        <v>1473</v>
      </c>
      <c r="AQ768" t="s">
        <v>1474</v>
      </c>
      <c r="AR768" t="s">
        <v>1475</v>
      </c>
      <c r="AS768" t="s">
        <v>1476</v>
      </c>
      <c r="AT768" s="1">
        <v>44461</v>
      </c>
      <c r="AU768" t="s">
        <v>73</v>
      </c>
    </row>
    <row r="769" spans="1:47" x14ac:dyDescent="0.3">
      <c r="A769" t="s">
        <v>47</v>
      </c>
      <c r="B769" t="s">
        <v>224</v>
      </c>
      <c r="C769" t="s">
        <v>225</v>
      </c>
      <c r="D769">
        <v>753</v>
      </c>
      <c r="E769" t="s">
        <v>1445</v>
      </c>
      <c r="F769" t="s">
        <v>1250</v>
      </c>
      <c r="G769" t="s">
        <v>1446</v>
      </c>
      <c r="H769" t="s">
        <v>1470</v>
      </c>
      <c r="I769" t="s">
        <v>54</v>
      </c>
      <c r="J769" t="s">
        <v>1471</v>
      </c>
      <c r="K769" t="s">
        <v>56</v>
      </c>
      <c r="L769">
        <v>0</v>
      </c>
      <c r="M769" t="s">
        <v>73</v>
      </c>
      <c r="N769">
        <v>0</v>
      </c>
      <c r="O769" t="s">
        <v>58</v>
      </c>
      <c r="P769" t="s">
        <v>59</v>
      </c>
      <c r="Q769" t="s">
        <v>1049</v>
      </c>
      <c r="R769" t="s">
        <v>1471</v>
      </c>
      <c r="S769" s="1">
        <v>44447</v>
      </c>
      <c r="T769" s="1">
        <v>44453</v>
      </c>
      <c r="U769">
        <v>37501</v>
      </c>
      <c r="V769" t="s">
        <v>61</v>
      </c>
      <c r="W769" t="s">
        <v>1472</v>
      </c>
      <c r="X769" s="1">
        <v>44459</v>
      </c>
      <c r="Y769" t="s">
        <v>207</v>
      </c>
      <c r="Z769">
        <v>428.88</v>
      </c>
      <c r="AA769">
        <v>16</v>
      </c>
      <c r="AB769">
        <v>68.62</v>
      </c>
      <c r="AC769">
        <v>49.75</v>
      </c>
      <c r="AD769">
        <v>547.25</v>
      </c>
      <c r="AE769">
        <v>5907.77</v>
      </c>
      <c r="AF769">
        <v>7988</v>
      </c>
      <c r="AG769" t="s">
        <v>1450</v>
      </c>
      <c r="AH769" t="s">
        <v>65</v>
      </c>
      <c r="AI769" t="s">
        <v>65</v>
      </c>
      <c r="AJ769" t="s">
        <v>66</v>
      </c>
      <c r="AK769" t="s">
        <v>66</v>
      </c>
      <c r="AL769" t="s">
        <v>66</v>
      </c>
      <c r="AM769" s="2" t="str">
        <f>HYPERLINK("https://transparencia.cidesi.mx/comprobantes/2021/CQ2100841 /C10C22226_PMA170203CS2.pdf")</f>
        <v>https://transparencia.cidesi.mx/comprobantes/2021/CQ2100841 /C10C22226_PMA170203CS2.pdf</v>
      </c>
      <c r="AN769" t="str">
        <f>HYPERLINK("https://transparencia.cidesi.mx/comprobantes/2021/CQ2100841 /C10C22226_PMA170203CS2.pdf")</f>
        <v>https://transparencia.cidesi.mx/comprobantes/2021/CQ2100841 /C10C22226_PMA170203CS2.pdf</v>
      </c>
      <c r="AO769" t="str">
        <f>HYPERLINK("https://transparencia.cidesi.mx/comprobantes/2021/CQ2100841 /C10C22226_PMA170203CS2.xml")</f>
        <v>https://transparencia.cidesi.mx/comprobantes/2021/CQ2100841 /C10C22226_PMA170203CS2.xml</v>
      </c>
      <c r="AP769" t="s">
        <v>1473</v>
      </c>
      <c r="AQ769" t="s">
        <v>1474</v>
      </c>
      <c r="AR769" t="s">
        <v>1475</v>
      </c>
      <c r="AS769" t="s">
        <v>1476</v>
      </c>
      <c r="AT769" s="1">
        <v>44461</v>
      </c>
      <c r="AU769" t="s">
        <v>73</v>
      </c>
    </row>
    <row r="770" spans="1:47" x14ac:dyDescent="0.3">
      <c r="A770" t="s">
        <v>47</v>
      </c>
      <c r="B770" t="s">
        <v>224</v>
      </c>
      <c r="C770" t="s">
        <v>225</v>
      </c>
      <c r="D770">
        <v>753</v>
      </c>
      <c r="E770" t="s">
        <v>1445</v>
      </c>
      <c r="F770" t="s">
        <v>1250</v>
      </c>
      <c r="G770" t="s">
        <v>1446</v>
      </c>
      <c r="H770" t="s">
        <v>1470</v>
      </c>
      <c r="I770" t="s">
        <v>54</v>
      </c>
      <c r="J770" t="s">
        <v>1471</v>
      </c>
      <c r="K770" t="s">
        <v>56</v>
      </c>
      <c r="L770">
        <v>0</v>
      </c>
      <c r="M770" t="s">
        <v>73</v>
      </c>
      <c r="N770">
        <v>0</v>
      </c>
      <c r="O770" t="s">
        <v>58</v>
      </c>
      <c r="P770" t="s">
        <v>59</v>
      </c>
      <c r="Q770" t="s">
        <v>1049</v>
      </c>
      <c r="R770" t="s">
        <v>1471</v>
      </c>
      <c r="S770" s="1">
        <v>44447</v>
      </c>
      <c r="T770" s="1">
        <v>44453</v>
      </c>
      <c r="U770">
        <v>37501</v>
      </c>
      <c r="V770" t="s">
        <v>61</v>
      </c>
      <c r="W770" t="s">
        <v>1472</v>
      </c>
      <c r="X770" s="1">
        <v>44459</v>
      </c>
      <c r="Y770" t="s">
        <v>207</v>
      </c>
      <c r="Z770">
        <v>304.31</v>
      </c>
      <c r="AA770">
        <v>16</v>
      </c>
      <c r="AB770">
        <v>48.69</v>
      </c>
      <c r="AC770">
        <v>0</v>
      </c>
      <c r="AD770">
        <v>353</v>
      </c>
      <c r="AE770">
        <v>5907.77</v>
      </c>
      <c r="AF770">
        <v>7988</v>
      </c>
      <c r="AG770" t="s">
        <v>1450</v>
      </c>
      <c r="AH770" t="s">
        <v>65</v>
      </c>
      <c r="AI770" t="s">
        <v>65</v>
      </c>
      <c r="AJ770" t="s">
        <v>66</v>
      </c>
      <c r="AK770" t="s">
        <v>66</v>
      </c>
      <c r="AL770" t="s">
        <v>66</v>
      </c>
      <c r="AM770" s="2" t="str">
        <f>HYPERLINK("https://transparencia.cidesi.mx/comprobantes/2021/CQ2100841 /C1107eedc01-90f4-4b96-8bfb-329292d26458_MECA730929NL6.pdf")</f>
        <v>https://transparencia.cidesi.mx/comprobantes/2021/CQ2100841 /C1107eedc01-90f4-4b96-8bfb-329292d26458_MECA730929NL6.pdf</v>
      </c>
      <c r="AN770" t="str">
        <f>HYPERLINK("https://transparencia.cidesi.mx/comprobantes/2021/CQ2100841 /C1107eedc01-90f4-4b96-8bfb-329292d26458_MECA730929NL6.pdf")</f>
        <v>https://transparencia.cidesi.mx/comprobantes/2021/CQ2100841 /C1107eedc01-90f4-4b96-8bfb-329292d26458_MECA730929NL6.pdf</v>
      </c>
      <c r="AO770" t="str">
        <f>HYPERLINK("https://transparencia.cidesi.mx/comprobantes/2021/CQ2100841 /C1107eedc01-90f4-4b96-8bfb-329292d26458_MECA730929NL6.xml")</f>
        <v>https://transparencia.cidesi.mx/comprobantes/2021/CQ2100841 /C1107eedc01-90f4-4b96-8bfb-329292d26458_MECA730929NL6.xml</v>
      </c>
      <c r="AP770" t="s">
        <v>1473</v>
      </c>
      <c r="AQ770" t="s">
        <v>1474</v>
      </c>
      <c r="AR770" t="s">
        <v>1475</v>
      </c>
      <c r="AS770" t="s">
        <v>1476</v>
      </c>
      <c r="AT770" s="1">
        <v>44461</v>
      </c>
      <c r="AU770" t="s">
        <v>73</v>
      </c>
    </row>
    <row r="771" spans="1:47" x14ac:dyDescent="0.3">
      <c r="A771" t="s">
        <v>47</v>
      </c>
      <c r="B771" t="s">
        <v>224</v>
      </c>
      <c r="C771" t="s">
        <v>225</v>
      </c>
      <c r="D771">
        <v>753</v>
      </c>
      <c r="E771" t="s">
        <v>1445</v>
      </c>
      <c r="F771" t="s">
        <v>1250</v>
      </c>
      <c r="G771" t="s">
        <v>1446</v>
      </c>
      <c r="H771" t="s">
        <v>1470</v>
      </c>
      <c r="I771" t="s">
        <v>54</v>
      </c>
      <c r="J771" t="s">
        <v>1471</v>
      </c>
      <c r="K771" t="s">
        <v>56</v>
      </c>
      <c r="L771">
        <v>0</v>
      </c>
      <c r="M771" t="s">
        <v>73</v>
      </c>
      <c r="N771">
        <v>0</v>
      </c>
      <c r="O771" t="s">
        <v>58</v>
      </c>
      <c r="P771" t="s">
        <v>59</v>
      </c>
      <c r="Q771" t="s">
        <v>1049</v>
      </c>
      <c r="R771" t="s">
        <v>1471</v>
      </c>
      <c r="S771" s="1">
        <v>44447</v>
      </c>
      <c r="T771" s="1">
        <v>44453</v>
      </c>
      <c r="U771">
        <v>37501</v>
      </c>
      <c r="V771" t="s">
        <v>61</v>
      </c>
      <c r="W771" t="s">
        <v>1472</v>
      </c>
      <c r="X771" s="1">
        <v>44459</v>
      </c>
      <c r="Y771" t="s">
        <v>207</v>
      </c>
      <c r="Z771">
        <v>77.14</v>
      </c>
      <c r="AA771">
        <v>16</v>
      </c>
      <c r="AB771">
        <v>3.86</v>
      </c>
      <c r="AC771">
        <v>0</v>
      </c>
      <c r="AD771">
        <v>81</v>
      </c>
      <c r="AE771">
        <v>5907.77</v>
      </c>
      <c r="AF771">
        <v>7988</v>
      </c>
      <c r="AG771" t="s">
        <v>1450</v>
      </c>
      <c r="AH771" t="s">
        <v>65</v>
      </c>
      <c r="AI771" t="s">
        <v>65</v>
      </c>
      <c r="AJ771" t="s">
        <v>66</v>
      </c>
      <c r="AK771" t="s">
        <v>66</v>
      </c>
      <c r="AL771" t="s">
        <v>66</v>
      </c>
      <c r="AM771" s="2" t="str">
        <f>HYPERLINK("https://transparencia.cidesi.mx/comprobantes/2021/CQ2100841 /C12344658593_CCO8605231N4.pdf")</f>
        <v>https://transparencia.cidesi.mx/comprobantes/2021/CQ2100841 /C12344658593_CCO8605231N4.pdf</v>
      </c>
      <c r="AN771" t="str">
        <f>HYPERLINK("https://transparencia.cidesi.mx/comprobantes/2021/CQ2100841 /C12344658593_CCO8605231N4.pdf")</f>
        <v>https://transparencia.cidesi.mx/comprobantes/2021/CQ2100841 /C12344658593_CCO8605231N4.pdf</v>
      </c>
      <c r="AO771" t="str">
        <f>HYPERLINK("https://transparencia.cidesi.mx/comprobantes/2021/CQ2100841 /C12344658593_CCO8605231N4.xml")</f>
        <v>https://transparencia.cidesi.mx/comprobantes/2021/CQ2100841 /C12344658593_CCO8605231N4.xml</v>
      </c>
      <c r="AP771" t="s">
        <v>1473</v>
      </c>
      <c r="AQ771" t="s">
        <v>1474</v>
      </c>
      <c r="AR771" t="s">
        <v>1475</v>
      </c>
      <c r="AS771" t="s">
        <v>1476</v>
      </c>
      <c r="AT771" s="1">
        <v>44461</v>
      </c>
      <c r="AU771" t="s">
        <v>73</v>
      </c>
    </row>
    <row r="772" spans="1:47" x14ac:dyDescent="0.3">
      <c r="A772" t="s">
        <v>47</v>
      </c>
      <c r="B772" t="s">
        <v>224</v>
      </c>
      <c r="C772" t="s">
        <v>225</v>
      </c>
      <c r="D772">
        <v>753</v>
      </c>
      <c r="E772" t="s">
        <v>1445</v>
      </c>
      <c r="F772" t="s">
        <v>1250</v>
      </c>
      <c r="G772" t="s">
        <v>1446</v>
      </c>
      <c r="H772" t="s">
        <v>1470</v>
      </c>
      <c r="I772" t="s">
        <v>54</v>
      </c>
      <c r="J772" t="s">
        <v>1471</v>
      </c>
      <c r="K772" t="s">
        <v>56</v>
      </c>
      <c r="L772">
        <v>0</v>
      </c>
      <c r="M772" t="s">
        <v>73</v>
      </c>
      <c r="N772">
        <v>0</v>
      </c>
      <c r="O772" t="s">
        <v>58</v>
      </c>
      <c r="P772" t="s">
        <v>59</v>
      </c>
      <c r="Q772" t="s">
        <v>1049</v>
      </c>
      <c r="R772" t="s">
        <v>1471</v>
      </c>
      <c r="S772" s="1">
        <v>44447</v>
      </c>
      <c r="T772" s="1">
        <v>44453</v>
      </c>
      <c r="U772">
        <v>37501</v>
      </c>
      <c r="V772" t="s">
        <v>61</v>
      </c>
      <c r="W772" t="s">
        <v>1472</v>
      </c>
      <c r="X772" s="1">
        <v>44459</v>
      </c>
      <c r="Y772" t="s">
        <v>207</v>
      </c>
      <c r="Z772">
        <v>394.4</v>
      </c>
      <c r="AA772">
        <v>16</v>
      </c>
      <c r="AB772">
        <v>63.1</v>
      </c>
      <c r="AC772">
        <v>0</v>
      </c>
      <c r="AD772">
        <v>457.5</v>
      </c>
      <c r="AE772">
        <v>5907.77</v>
      </c>
      <c r="AF772">
        <v>7988</v>
      </c>
      <c r="AG772" t="s">
        <v>1450</v>
      </c>
      <c r="AH772" t="s">
        <v>65</v>
      </c>
      <c r="AI772" t="s">
        <v>65</v>
      </c>
      <c r="AJ772" t="s">
        <v>66</v>
      </c>
      <c r="AK772" t="s">
        <v>66</v>
      </c>
      <c r="AL772" t="s">
        <v>66</v>
      </c>
      <c r="AM772" s="2" t="str">
        <f>HYPERLINK("https://transparencia.cidesi.mx/comprobantes/2021/CQ2100841 /C1338342_RORR791119M94.pdf")</f>
        <v>https://transparencia.cidesi.mx/comprobantes/2021/CQ2100841 /C1338342_RORR791119M94.pdf</v>
      </c>
      <c r="AN772" t="str">
        <f>HYPERLINK("https://transparencia.cidesi.mx/comprobantes/2021/CQ2100841 /C1338342_RORR791119M94.pdf")</f>
        <v>https://transparencia.cidesi.mx/comprobantes/2021/CQ2100841 /C1338342_RORR791119M94.pdf</v>
      </c>
      <c r="AO772" t="str">
        <f>HYPERLINK("https://transparencia.cidesi.mx/comprobantes/2021/CQ2100841 /C1338342_RORR791119M94.xml")</f>
        <v>https://transparencia.cidesi.mx/comprobantes/2021/CQ2100841 /C1338342_RORR791119M94.xml</v>
      </c>
      <c r="AP772" t="s">
        <v>1473</v>
      </c>
      <c r="AQ772" t="s">
        <v>1474</v>
      </c>
      <c r="AR772" t="s">
        <v>1475</v>
      </c>
      <c r="AS772" t="s">
        <v>1476</v>
      </c>
      <c r="AT772" s="1">
        <v>44461</v>
      </c>
      <c r="AU772" t="s">
        <v>73</v>
      </c>
    </row>
    <row r="773" spans="1:47" x14ac:dyDescent="0.3">
      <c r="A773" t="s">
        <v>47</v>
      </c>
      <c r="B773" t="s">
        <v>224</v>
      </c>
      <c r="C773" t="s">
        <v>225</v>
      </c>
      <c r="D773">
        <v>753</v>
      </c>
      <c r="E773" t="s">
        <v>1445</v>
      </c>
      <c r="F773" t="s">
        <v>1250</v>
      </c>
      <c r="G773" t="s">
        <v>1446</v>
      </c>
      <c r="H773" t="s">
        <v>1470</v>
      </c>
      <c r="I773" t="s">
        <v>54</v>
      </c>
      <c r="J773" t="s">
        <v>1471</v>
      </c>
      <c r="K773" t="s">
        <v>56</v>
      </c>
      <c r="L773">
        <v>0</v>
      </c>
      <c r="M773" t="s">
        <v>73</v>
      </c>
      <c r="N773">
        <v>0</v>
      </c>
      <c r="O773" t="s">
        <v>58</v>
      </c>
      <c r="P773" t="s">
        <v>59</v>
      </c>
      <c r="Q773" t="s">
        <v>1049</v>
      </c>
      <c r="R773" t="s">
        <v>1471</v>
      </c>
      <c r="S773" s="1">
        <v>44447</v>
      </c>
      <c r="T773" s="1">
        <v>44453</v>
      </c>
      <c r="U773">
        <v>37501</v>
      </c>
      <c r="V773" t="s">
        <v>61</v>
      </c>
      <c r="W773" t="s">
        <v>1472</v>
      </c>
      <c r="X773" s="1">
        <v>44459</v>
      </c>
      <c r="Y773" t="s">
        <v>207</v>
      </c>
      <c r="Z773">
        <v>82.94</v>
      </c>
      <c r="AA773">
        <v>16</v>
      </c>
      <c r="AB773">
        <v>6.56</v>
      </c>
      <c r="AC773">
        <v>0</v>
      </c>
      <c r="AD773">
        <v>89.5</v>
      </c>
      <c r="AE773">
        <v>5907.77</v>
      </c>
      <c r="AF773">
        <v>7988</v>
      </c>
      <c r="AG773" t="s">
        <v>1450</v>
      </c>
      <c r="AH773" t="s">
        <v>65</v>
      </c>
      <c r="AI773" t="s">
        <v>65</v>
      </c>
      <c r="AJ773" t="s">
        <v>66</v>
      </c>
      <c r="AK773" t="s">
        <v>66</v>
      </c>
      <c r="AL773" t="s">
        <v>66</v>
      </c>
      <c r="AM773" s="2" t="str">
        <f>HYPERLINK("https://transparencia.cidesi.mx/comprobantes/2021/CQ2100841 /C14344658783_CCO8605231N4.pdf")</f>
        <v>https://transparencia.cidesi.mx/comprobantes/2021/CQ2100841 /C14344658783_CCO8605231N4.pdf</v>
      </c>
      <c r="AN773" t="str">
        <f>HYPERLINK("https://transparencia.cidesi.mx/comprobantes/2021/CQ2100841 /C14344658783_CCO8605231N4.pdf")</f>
        <v>https://transparencia.cidesi.mx/comprobantes/2021/CQ2100841 /C14344658783_CCO8605231N4.pdf</v>
      </c>
      <c r="AO773" t="str">
        <f>HYPERLINK("https://transparencia.cidesi.mx/comprobantes/2021/CQ2100841 /C14344658783_CCO8605231N4.xml")</f>
        <v>https://transparencia.cidesi.mx/comprobantes/2021/CQ2100841 /C14344658783_CCO8605231N4.xml</v>
      </c>
      <c r="AP773" t="s">
        <v>1473</v>
      </c>
      <c r="AQ773" t="s">
        <v>1474</v>
      </c>
      <c r="AR773" t="s">
        <v>1475</v>
      </c>
      <c r="AS773" t="s">
        <v>1476</v>
      </c>
      <c r="AT773" s="1">
        <v>44461</v>
      </c>
      <c r="AU773" t="s">
        <v>73</v>
      </c>
    </row>
    <row r="774" spans="1:47" x14ac:dyDescent="0.3">
      <c r="A774" t="s">
        <v>47</v>
      </c>
      <c r="B774" t="s">
        <v>224</v>
      </c>
      <c r="C774" t="s">
        <v>225</v>
      </c>
      <c r="D774">
        <v>753</v>
      </c>
      <c r="E774" t="s">
        <v>1445</v>
      </c>
      <c r="F774" t="s">
        <v>1250</v>
      </c>
      <c r="G774" t="s">
        <v>1446</v>
      </c>
      <c r="H774" t="s">
        <v>1470</v>
      </c>
      <c r="I774" t="s">
        <v>54</v>
      </c>
      <c r="J774" t="s">
        <v>1471</v>
      </c>
      <c r="K774" t="s">
        <v>56</v>
      </c>
      <c r="L774">
        <v>0</v>
      </c>
      <c r="M774" t="s">
        <v>73</v>
      </c>
      <c r="N774">
        <v>0</v>
      </c>
      <c r="O774" t="s">
        <v>58</v>
      </c>
      <c r="P774" t="s">
        <v>59</v>
      </c>
      <c r="Q774" t="s">
        <v>1049</v>
      </c>
      <c r="R774" t="s">
        <v>1471</v>
      </c>
      <c r="S774" s="1">
        <v>44447</v>
      </c>
      <c r="T774" s="1">
        <v>44453</v>
      </c>
      <c r="U774">
        <v>37501</v>
      </c>
      <c r="V774" t="s">
        <v>94</v>
      </c>
      <c r="W774" t="s">
        <v>1472</v>
      </c>
      <c r="X774" s="1">
        <v>44459</v>
      </c>
      <c r="Y774" t="s">
        <v>207</v>
      </c>
      <c r="Z774">
        <v>112.07</v>
      </c>
      <c r="AA774">
        <v>16</v>
      </c>
      <c r="AB774">
        <v>17.93</v>
      </c>
      <c r="AC774">
        <v>0</v>
      </c>
      <c r="AD774">
        <v>130</v>
      </c>
      <c r="AE774">
        <v>5907.77</v>
      </c>
      <c r="AF774">
        <v>7988</v>
      </c>
      <c r="AG774" t="s">
        <v>1478</v>
      </c>
      <c r="AH774" t="s">
        <v>66</v>
      </c>
      <c r="AI774" t="s">
        <v>65</v>
      </c>
      <c r="AJ774" t="s">
        <v>66</v>
      </c>
      <c r="AK774" t="s">
        <v>66</v>
      </c>
      <c r="AL774" t="s">
        <v>66</v>
      </c>
      <c r="AM774" s="2" t="str">
        <f>HYPERLINK("https://transparencia.cidesi.mx/comprobantes/2021/CQ2100841 /C155BBA35E8-7D7B-4F7D-9031-E8AFE9EF20BF_AGU910620RZ8.pdf")</f>
        <v>https://transparencia.cidesi.mx/comprobantes/2021/CQ2100841 /C155BBA35E8-7D7B-4F7D-9031-E8AFE9EF20BF_AGU910620RZ8.pdf</v>
      </c>
      <c r="AN774" t="str">
        <f>HYPERLINK("https://transparencia.cidesi.mx/comprobantes/2021/CQ2100841 /C155BBA35E8-7D7B-4F7D-9031-E8AFE9EF20BF_AGU910620RZ8.pdf")</f>
        <v>https://transparencia.cidesi.mx/comprobantes/2021/CQ2100841 /C155BBA35E8-7D7B-4F7D-9031-E8AFE9EF20BF_AGU910620RZ8.pdf</v>
      </c>
      <c r="AO774" t="str">
        <f>HYPERLINK("https://transparencia.cidesi.mx/comprobantes/2021/CQ2100841 /C155BBA35E8-7D7B-4F7D-9031-E8AFE9EF20BF_AGU910620RZ8.xml")</f>
        <v>https://transparencia.cidesi.mx/comprobantes/2021/CQ2100841 /C155BBA35E8-7D7B-4F7D-9031-E8AFE9EF20BF_AGU910620RZ8.xml</v>
      </c>
      <c r="AP774" t="s">
        <v>1473</v>
      </c>
      <c r="AQ774" t="s">
        <v>1474</v>
      </c>
      <c r="AR774" t="s">
        <v>1475</v>
      </c>
      <c r="AS774" t="s">
        <v>1476</v>
      </c>
      <c r="AT774" s="1">
        <v>44461</v>
      </c>
      <c r="AU774" t="s">
        <v>73</v>
      </c>
    </row>
    <row r="775" spans="1:47" x14ac:dyDescent="0.3">
      <c r="A775" t="s">
        <v>246</v>
      </c>
      <c r="B775" t="s">
        <v>182</v>
      </c>
      <c r="C775" t="s">
        <v>183</v>
      </c>
      <c r="D775">
        <v>755</v>
      </c>
      <c r="E775" t="s">
        <v>1479</v>
      </c>
      <c r="F775" t="s">
        <v>1480</v>
      </c>
      <c r="G775" t="s">
        <v>1481</v>
      </c>
      <c r="H775" t="s">
        <v>1482</v>
      </c>
      <c r="I775" t="s">
        <v>54</v>
      </c>
      <c r="J775" t="s">
        <v>1483</v>
      </c>
      <c r="K775" t="s">
        <v>56</v>
      </c>
      <c r="L775">
        <v>0</v>
      </c>
      <c r="M775" t="s">
        <v>73</v>
      </c>
      <c r="N775">
        <v>0</v>
      </c>
      <c r="O775" t="s">
        <v>58</v>
      </c>
      <c r="P775" t="s">
        <v>59</v>
      </c>
      <c r="Q775" t="s">
        <v>60</v>
      </c>
      <c r="R775" t="s">
        <v>1483</v>
      </c>
      <c r="S775" s="1">
        <v>44405</v>
      </c>
      <c r="T775" s="1">
        <v>44406</v>
      </c>
      <c r="U775">
        <v>37501</v>
      </c>
      <c r="V775" t="s">
        <v>104</v>
      </c>
      <c r="W775" t="s">
        <v>1484</v>
      </c>
      <c r="X775" s="1">
        <v>44410</v>
      </c>
      <c r="Y775" t="s">
        <v>63</v>
      </c>
      <c r="Z775">
        <v>739.52</v>
      </c>
      <c r="AA775">
        <v>16</v>
      </c>
      <c r="AB775">
        <v>114.32</v>
      </c>
      <c r="AC775">
        <v>0</v>
      </c>
      <c r="AD775">
        <v>853.84</v>
      </c>
      <c r="AE775">
        <v>1403.36</v>
      </c>
      <c r="AF775">
        <v>1636</v>
      </c>
      <c r="AG775" t="s">
        <v>1485</v>
      </c>
      <c r="AH775" t="s">
        <v>65</v>
      </c>
      <c r="AI775" t="s">
        <v>65</v>
      </c>
      <c r="AJ775" t="s">
        <v>66</v>
      </c>
      <c r="AK775" t="s">
        <v>66</v>
      </c>
      <c r="AL775" t="s">
        <v>66</v>
      </c>
      <c r="AM775" s="2" t="str">
        <f>HYPERLINK("https://transparencia.cidesi.mx/comprobantes/2021/CQ2100590 /C112223921.pdf")</f>
        <v>https://transparencia.cidesi.mx/comprobantes/2021/CQ2100590 /C112223921.pdf</v>
      </c>
      <c r="AN775" t="str">
        <f>HYPERLINK("https://transparencia.cidesi.mx/comprobantes/2021/CQ2100590 /C112223921.pdf")</f>
        <v>https://transparencia.cidesi.mx/comprobantes/2021/CQ2100590 /C112223921.pdf</v>
      </c>
      <c r="AO775" t="str">
        <f>HYPERLINK("https://transparencia.cidesi.mx/comprobantes/2021/CQ2100590 /C112223921_timbrado.xml")</f>
        <v>https://transparencia.cidesi.mx/comprobantes/2021/CQ2100590 /C112223921_timbrado.xml</v>
      </c>
      <c r="AP775" t="s">
        <v>1486</v>
      </c>
      <c r="AQ775" t="s">
        <v>1487</v>
      </c>
      <c r="AR775" t="s">
        <v>1488</v>
      </c>
      <c r="AS775" t="s">
        <v>1489</v>
      </c>
      <c r="AT775" s="1">
        <v>44414</v>
      </c>
      <c r="AU775" s="1">
        <v>44424</v>
      </c>
    </row>
    <row r="776" spans="1:47" x14ac:dyDescent="0.3">
      <c r="A776" t="s">
        <v>246</v>
      </c>
      <c r="B776" t="s">
        <v>182</v>
      </c>
      <c r="C776" t="s">
        <v>183</v>
      </c>
      <c r="D776">
        <v>755</v>
      </c>
      <c r="E776" t="s">
        <v>1479</v>
      </c>
      <c r="F776" t="s">
        <v>1480</v>
      </c>
      <c r="G776" t="s">
        <v>1481</v>
      </c>
      <c r="H776" t="s">
        <v>1482</v>
      </c>
      <c r="I776" t="s">
        <v>54</v>
      </c>
      <c r="J776" t="s">
        <v>1483</v>
      </c>
      <c r="K776" t="s">
        <v>56</v>
      </c>
      <c r="L776">
        <v>0</v>
      </c>
      <c r="M776" t="s">
        <v>73</v>
      </c>
      <c r="N776">
        <v>0</v>
      </c>
      <c r="O776" t="s">
        <v>58</v>
      </c>
      <c r="P776" t="s">
        <v>59</v>
      </c>
      <c r="Q776" t="s">
        <v>60</v>
      </c>
      <c r="R776" t="s">
        <v>1483</v>
      </c>
      <c r="S776" s="1">
        <v>44405</v>
      </c>
      <c r="T776" s="1">
        <v>44406</v>
      </c>
      <c r="U776">
        <v>37501</v>
      </c>
      <c r="V776" t="s">
        <v>61</v>
      </c>
      <c r="W776" t="s">
        <v>1484</v>
      </c>
      <c r="X776" s="1">
        <v>44410</v>
      </c>
      <c r="Y776" t="s">
        <v>63</v>
      </c>
      <c r="Z776">
        <v>473.8</v>
      </c>
      <c r="AA776">
        <v>16</v>
      </c>
      <c r="AB776">
        <v>75.72</v>
      </c>
      <c r="AC776">
        <v>0</v>
      </c>
      <c r="AD776">
        <v>549.52</v>
      </c>
      <c r="AE776">
        <v>1403.36</v>
      </c>
      <c r="AF776">
        <v>1636</v>
      </c>
      <c r="AG776" t="s">
        <v>1490</v>
      </c>
      <c r="AH776" t="s">
        <v>65</v>
      </c>
      <c r="AI776" t="s">
        <v>65</v>
      </c>
      <c r="AJ776" t="s">
        <v>66</v>
      </c>
      <c r="AK776" t="s">
        <v>66</v>
      </c>
      <c r="AL776" t="s">
        <v>66</v>
      </c>
      <c r="AM776" s="2" t="str">
        <f>HYPERLINK("https://transparencia.cidesi.mx/comprobantes/2021/CQ2100590 /C2RORR791119M94_Factura__37279_406C1008-05C2-42DB-B449-567515F05D57.pdf")</f>
        <v>https://transparencia.cidesi.mx/comprobantes/2021/CQ2100590 /C2RORR791119M94_Factura__37279_406C1008-05C2-42DB-B449-567515F05D57.pdf</v>
      </c>
      <c r="AN776" t="str">
        <f>HYPERLINK("https://transparencia.cidesi.mx/comprobantes/2021/CQ2100590 /C2RORR791119M94_Factura__37279_406C1008-05C2-42DB-B449-567515F05D57.pdf")</f>
        <v>https://transparencia.cidesi.mx/comprobantes/2021/CQ2100590 /C2RORR791119M94_Factura__37279_406C1008-05C2-42DB-B449-567515F05D57.pdf</v>
      </c>
      <c r="AO776" t="str">
        <f>HYPERLINK("https://transparencia.cidesi.mx/comprobantes/2021/CQ2100590 /C2RORR791119M94_Factura__37279_406C1008-05C2-42DB-B449-567515F05D57.xml")</f>
        <v>https://transparencia.cidesi.mx/comprobantes/2021/CQ2100590 /C2RORR791119M94_Factura__37279_406C1008-05C2-42DB-B449-567515F05D57.xml</v>
      </c>
      <c r="AP776" t="s">
        <v>1486</v>
      </c>
      <c r="AQ776" t="s">
        <v>1487</v>
      </c>
      <c r="AR776" t="s">
        <v>1488</v>
      </c>
      <c r="AS776" t="s">
        <v>1489</v>
      </c>
      <c r="AT776" s="1">
        <v>44414</v>
      </c>
      <c r="AU776" s="1">
        <v>44424</v>
      </c>
    </row>
    <row r="777" spans="1:47" x14ac:dyDescent="0.3">
      <c r="A777" t="s">
        <v>246</v>
      </c>
      <c r="B777" t="s">
        <v>182</v>
      </c>
      <c r="C777" t="s">
        <v>183</v>
      </c>
      <c r="D777">
        <v>755</v>
      </c>
      <c r="E777" t="s">
        <v>1479</v>
      </c>
      <c r="F777" t="s">
        <v>1480</v>
      </c>
      <c r="G777" t="s">
        <v>1481</v>
      </c>
      <c r="H777" t="s">
        <v>1491</v>
      </c>
      <c r="I777" t="s">
        <v>54</v>
      </c>
      <c r="J777" t="s">
        <v>1492</v>
      </c>
      <c r="K777" t="s">
        <v>56</v>
      </c>
      <c r="L777">
        <v>0</v>
      </c>
      <c r="M777" t="s">
        <v>73</v>
      </c>
      <c r="N777">
        <v>0</v>
      </c>
      <c r="O777" t="s">
        <v>58</v>
      </c>
      <c r="P777" t="s">
        <v>59</v>
      </c>
      <c r="Q777" t="s">
        <v>986</v>
      </c>
      <c r="R777" t="s">
        <v>1492</v>
      </c>
      <c r="S777" s="1">
        <v>44437</v>
      </c>
      <c r="T777" s="1">
        <v>44443</v>
      </c>
      <c r="U777">
        <v>37501</v>
      </c>
      <c r="V777" t="s">
        <v>61</v>
      </c>
      <c r="W777" t="s">
        <v>1493</v>
      </c>
      <c r="X777" s="1">
        <v>44447</v>
      </c>
      <c r="Y777" t="s">
        <v>63</v>
      </c>
      <c r="Z777">
        <v>250.86</v>
      </c>
      <c r="AA777">
        <v>16</v>
      </c>
      <c r="AB777">
        <v>40.14</v>
      </c>
      <c r="AC777">
        <v>29.1</v>
      </c>
      <c r="AD777">
        <v>320.10000000000002</v>
      </c>
      <c r="AE777">
        <v>7636.42</v>
      </c>
      <c r="AF777">
        <v>7091</v>
      </c>
      <c r="AG777" t="s">
        <v>1490</v>
      </c>
      <c r="AH777" t="s">
        <v>65</v>
      </c>
      <c r="AI777" t="s">
        <v>65</v>
      </c>
      <c r="AJ777" t="s">
        <v>66</v>
      </c>
      <c r="AK777" t="s">
        <v>66</v>
      </c>
      <c r="AL777" t="s">
        <v>66</v>
      </c>
      <c r="AM777" s="2" t="str">
        <f>HYPERLINK("https://transparencia.cidesi.mx/comprobantes/2021/CQ2100755 /C11FITASEN000000026307.pdf")</f>
        <v>https://transparencia.cidesi.mx/comprobantes/2021/CQ2100755 /C11FITASEN000000026307.pdf</v>
      </c>
      <c r="AN777" t="str">
        <f>HYPERLINK("https://transparencia.cidesi.mx/comprobantes/2021/CQ2100755 /C11FITASEN000000026307.pdf")</f>
        <v>https://transparencia.cidesi.mx/comprobantes/2021/CQ2100755 /C11FITASEN000000026307.pdf</v>
      </c>
      <c r="AO777" t="str">
        <f>HYPERLINK("https://transparencia.cidesi.mx/comprobantes/2021/CQ2100755 /C11FITASEN000000026307.xml")</f>
        <v>https://transparencia.cidesi.mx/comprobantes/2021/CQ2100755 /C11FITASEN000000026307.xml</v>
      </c>
      <c r="AP777" t="s">
        <v>1494</v>
      </c>
      <c r="AQ777" t="s">
        <v>1495</v>
      </c>
      <c r="AR777" t="s">
        <v>1496</v>
      </c>
      <c r="AS777" t="s">
        <v>1497</v>
      </c>
      <c r="AT777" s="1">
        <v>44448</v>
      </c>
      <c r="AU777" s="1">
        <v>44473</v>
      </c>
    </row>
    <row r="778" spans="1:47" x14ac:dyDescent="0.3">
      <c r="A778" t="s">
        <v>246</v>
      </c>
      <c r="B778" t="s">
        <v>182</v>
      </c>
      <c r="C778" t="s">
        <v>183</v>
      </c>
      <c r="D778">
        <v>755</v>
      </c>
      <c r="E778" t="s">
        <v>1479</v>
      </c>
      <c r="F778" t="s">
        <v>1480</v>
      </c>
      <c r="G778" t="s">
        <v>1481</v>
      </c>
      <c r="H778" t="s">
        <v>1491</v>
      </c>
      <c r="I778" t="s">
        <v>54</v>
      </c>
      <c r="J778" t="s">
        <v>1492</v>
      </c>
      <c r="K778" t="s">
        <v>56</v>
      </c>
      <c r="L778">
        <v>0</v>
      </c>
      <c r="M778" t="s">
        <v>73</v>
      </c>
      <c r="N778">
        <v>0</v>
      </c>
      <c r="O778" t="s">
        <v>58</v>
      </c>
      <c r="P778" t="s">
        <v>59</v>
      </c>
      <c r="Q778" t="s">
        <v>986</v>
      </c>
      <c r="R778" t="s">
        <v>1492</v>
      </c>
      <c r="S778" s="1">
        <v>44437</v>
      </c>
      <c r="T778" s="1">
        <v>44443</v>
      </c>
      <c r="U778">
        <v>37501</v>
      </c>
      <c r="V778" t="s">
        <v>61</v>
      </c>
      <c r="W778" t="s">
        <v>1493</v>
      </c>
      <c r="X778" s="1">
        <v>44447</v>
      </c>
      <c r="Y778" t="s">
        <v>63</v>
      </c>
      <c r="Z778">
        <v>289.66000000000003</v>
      </c>
      <c r="AA778">
        <v>16</v>
      </c>
      <c r="AB778">
        <v>46.34</v>
      </c>
      <c r="AC778">
        <v>33.6</v>
      </c>
      <c r="AD778">
        <v>369.6</v>
      </c>
      <c r="AE778">
        <v>7636.42</v>
      </c>
      <c r="AF778">
        <v>7091</v>
      </c>
      <c r="AG778" t="s">
        <v>1490</v>
      </c>
      <c r="AH778" t="s">
        <v>65</v>
      </c>
      <c r="AI778" t="s">
        <v>65</v>
      </c>
      <c r="AJ778" t="s">
        <v>66</v>
      </c>
      <c r="AK778" t="s">
        <v>66</v>
      </c>
      <c r="AL778" t="s">
        <v>66</v>
      </c>
      <c r="AM778" s="2" t="str">
        <f>HYPERLINK("https://transparencia.cidesi.mx/comprobantes/2021/CQ2100755 /C21FIYUPLA000000017868.pdf")</f>
        <v>https://transparencia.cidesi.mx/comprobantes/2021/CQ2100755 /C21FIYUPLA000000017868.pdf</v>
      </c>
      <c r="AN778" t="str">
        <f>HYPERLINK("https://transparencia.cidesi.mx/comprobantes/2021/CQ2100755 /C21FIYUPLA000000017868.pdf")</f>
        <v>https://transparencia.cidesi.mx/comprobantes/2021/CQ2100755 /C21FIYUPLA000000017868.pdf</v>
      </c>
      <c r="AO778" t="str">
        <f>HYPERLINK("https://transparencia.cidesi.mx/comprobantes/2021/CQ2100755 /C21FIYUPLA000000017868.xml")</f>
        <v>https://transparencia.cidesi.mx/comprobantes/2021/CQ2100755 /C21FIYUPLA000000017868.xml</v>
      </c>
      <c r="AP778" t="s">
        <v>1494</v>
      </c>
      <c r="AQ778" t="s">
        <v>1495</v>
      </c>
      <c r="AR778" t="s">
        <v>1496</v>
      </c>
      <c r="AS778" t="s">
        <v>1497</v>
      </c>
      <c r="AT778" s="1">
        <v>44448</v>
      </c>
      <c r="AU778" s="1">
        <v>44473</v>
      </c>
    </row>
    <row r="779" spans="1:47" x14ac:dyDescent="0.3">
      <c r="A779" t="s">
        <v>246</v>
      </c>
      <c r="B779" t="s">
        <v>182</v>
      </c>
      <c r="C779" t="s">
        <v>183</v>
      </c>
      <c r="D779">
        <v>755</v>
      </c>
      <c r="E779" t="s">
        <v>1479</v>
      </c>
      <c r="F779" t="s">
        <v>1480</v>
      </c>
      <c r="G779" t="s">
        <v>1481</v>
      </c>
      <c r="H779" t="s">
        <v>1491</v>
      </c>
      <c r="I779" t="s">
        <v>54</v>
      </c>
      <c r="J779" t="s">
        <v>1492</v>
      </c>
      <c r="K779" t="s">
        <v>56</v>
      </c>
      <c r="L779">
        <v>0</v>
      </c>
      <c r="M779" t="s">
        <v>73</v>
      </c>
      <c r="N779">
        <v>0</v>
      </c>
      <c r="O779" t="s">
        <v>58</v>
      </c>
      <c r="P779" t="s">
        <v>59</v>
      </c>
      <c r="Q779" t="s">
        <v>986</v>
      </c>
      <c r="R779" t="s">
        <v>1492</v>
      </c>
      <c r="S779" s="1">
        <v>44437</v>
      </c>
      <c r="T779" s="1">
        <v>44443</v>
      </c>
      <c r="U779">
        <v>37501</v>
      </c>
      <c r="V779" t="s">
        <v>61</v>
      </c>
      <c r="W779" t="s">
        <v>1493</v>
      </c>
      <c r="X779" s="1">
        <v>44447</v>
      </c>
      <c r="Y779" t="s">
        <v>63</v>
      </c>
      <c r="Z779">
        <v>172.9</v>
      </c>
      <c r="AA779">
        <v>16</v>
      </c>
      <c r="AB779">
        <v>15.1</v>
      </c>
      <c r="AC779">
        <v>0</v>
      </c>
      <c r="AD779">
        <v>188</v>
      </c>
      <c r="AE779">
        <v>7636.42</v>
      </c>
      <c r="AF779">
        <v>7091</v>
      </c>
      <c r="AG779" t="s">
        <v>1490</v>
      </c>
      <c r="AH779" t="s">
        <v>65</v>
      </c>
      <c r="AI779" t="s">
        <v>65</v>
      </c>
      <c r="AJ779" t="s">
        <v>66</v>
      </c>
      <c r="AK779" t="s">
        <v>66</v>
      </c>
      <c r="AL779" t="s">
        <v>66</v>
      </c>
      <c r="AM779" s="2" t="str">
        <f>HYPERLINK("https://transparencia.cidesi.mx/comprobantes/2021/CQ2100755 /C3FACTURA_1630953884964_343974795.pdf")</f>
        <v>https://transparencia.cidesi.mx/comprobantes/2021/CQ2100755 /C3FACTURA_1630953884964_343974795.pdf</v>
      </c>
      <c r="AN779" t="str">
        <f>HYPERLINK("https://transparencia.cidesi.mx/comprobantes/2021/CQ2100755 /C3FACTURA_1630953884964_343974795.pdf")</f>
        <v>https://transparencia.cidesi.mx/comprobantes/2021/CQ2100755 /C3FACTURA_1630953884964_343974795.pdf</v>
      </c>
      <c r="AO779" t="str">
        <f>HYPERLINK("https://transparencia.cidesi.mx/comprobantes/2021/CQ2100755 /C3FACTURA_1630953916215_343974795.xml")</f>
        <v>https://transparencia.cidesi.mx/comprobantes/2021/CQ2100755 /C3FACTURA_1630953916215_343974795.xml</v>
      </c>
      <c r="AP779" t="s">
        <v>1494</v>
      </c>
      <c r="AQ779" t="s">
        <v>1495</v>
      </c>
      <c r="AR779" t="s">
        <v>1496</v>
      </c>
      <c r="AS779" t="s">
        <v>1497</v>
      </c>
      <c r="AT779" s="1">
        <v>44448</v>
      </c>
      <c r="AU779" s="1">
        <v>44473</v>
      </c>
    </row>
    <row r="780" spans="1:47" x14ac:dyDescent="0.3">
      <c r="A780" t="s">
        <v>246</v>
      </c>
      <c r="B780" t="s">
        <v>182</v>
      </c>
      <c r="C780" t="s">
        <v>183</v>
      </c>
      <c r="D780">
        <v>755</v>
      </c>
      <c r="E780" t="s">
        <v>1479</v>
      </c>
      <c r="F780" t="s">
        <v>1480</v>
      </c>
      <c r="G780" t="s">
        <v>1481</v>
      </c>
      <c r="H780" t="s">
        <v>1491</v>
      </c>
      <c r="I780" t="s">
        <v>54</v>
      </c>
      <c r="J780" t="s">
        <v>1492</v>
      </c>
      <c r="K780" t="s">
        <v>56</v>
      </c>
      <c r="L780">
        <v>0</v>
      </c>
      <c r="M780" t="s">
        <v>73</v>
      </c>
      <c r="N780">
        <v>0</v>
      </c>
      <c r="O780" t="s">
        <v>58</v>
      </c>
      <c r="P780" t="s">
        <v>59</v>
      </c>
      <c r="Q780" t="s">
        <v>986</v>
      </c>
      <c r="R780" t="s">
        <v>1492</v>
      </c>
      <c r="S780" s="1">
        <v>44437</v>
      </c>
      <c r="T780" s="1">
        <v>44443</v>
      </c>
      <c r="U780">
        <v>37501</v>
      </c>
      <c r="V780" t="s">
        <v>61</v>
      </c>
      <c r="W780" t="s">
        <v>1493</v>
      </c>
      <c r="X780" s="1">
        <v>44447</v>
      </c>
      <c r="Y780" t="s">
        <v>63</v>
      </c>
      <c r="Z780">
        <v>163.99</v>
      </c>
      <c r="AA780">
        <v>16</v>
      </c>
      <c r="AB780">
        <v>5.01</v>
      </c>
      <c r="AC780">
        <v>0</v>
      </c>
      <c r="AD780">
        <v>169</v>
      </c>
      <c r="AE780">
        <v>7636.42</v>
      </c>
      <c r="AF780">
        <v>7091</v>
      </c>
      <c r="AG780" t="s">
        <v>1490</v>
      </c>
      <c r="AH780" t="s">
        <v>65</v>
      </c>
      <c r="AI780" t="s">
        <v>65</v>
      </c>
      <c r="AJ780" t="s">
        <v>66</v>
      </c>
      <c r="AK780" t="s">
        <v>66</v>
      </c>
      <c r="AL780" t="s">
        <v>66</v>
      </c>
      <c r="AM780" s="2" t="str">
        <f>HYPERLINK("https://transparencia.cidesi.mx/comprobantes/2021/CQ2100755 /C4FACTURA_1630953667865_343974211.pdf")</f>
        <v>https://transparencia.cidesi.mx/comprobantes/2021/CQ2100755 /C4FACTURA_1630953667865_343974211.pdf</v>
      </c>
      <c r="AN780" t="str">
        <f>HYPERLINK("https://transparencia.cidesi.mx/comprobantes/2021/CQ2100755 /C4FACTURA_1630953667865_343974211.pdf")</f>
        <v>https://transparencia.cidesi.mx/comprobantes/2021/CQ2100755 /C4FACTURA_1630953667865_343974211.pdf</v>
      </c>
      <c r="AO780" t="str">
        <f>HYPERLINK("https://transparencia.cidesi.mx/comprobantes/2021/CQ2100755 /C4FACTURA_1630953692455_343974211.xml")</f>
        <v>https://transparencia.cidesi.mx/comprobantes/2021/CQ2100755 /C4FACTURA_1630953692455_343974211.xml</v>
      </c>
      <c r="AP780" t="s">
        <v>1494</v>
      </c>
      <c r="AQ780" t="s">
        <v>1495</v>
      </c>
      <c r="AR780" t="s">
        <v>1496</v>
      </c>
      <c r="AS780" t="s">
        <v>1497</v>
      </c>
      <c r="AT780" s="1">
        <v>44448</v>
      </c>
      <c r="AU780" s="1">
        <v>44473</v>
      </c>
    </row>
    <row r="781" spans="1:47" x14ac:dyDescent="0.3">
      <c r="A781" t="s">
        <v>246</v>
      </c>
      <c r="B781" t="s">
        <v>182</v>
      </c>
      <c r="C781" t="s">
        <v>183</v>
      </c>
      <c r="D781">
        <v>755</v>
      </c>
      <c r="E781" t="s">
        <v>1479</v>
      </c>
      <c r="F781" t="s">
        <v>1480</v>
      </c>
      <c r="G781" t="s">
        <v>1481</v>
      </c>
      <c r="H781" t="s">
        <v>1491</v>
      </c>
      <c r="I781" t="s">
        <v>54</v>
      </c>
      <c r="J781" t="s">
        <v>1492</v>
      </c>
      <c r="K781" t="s">
        <v>56</v>
      </c>
      <c r="L781">
        <v>0</v>
      </c>
      <c r="M781" t="s">
        <v>73</v>
      </c>
      <c r="N781">
        <v>0</v>
      </c>
      <c r="O781" t="s">
        <v>58</v>
      </c>
      <c r="P781" t="s">
        <v>59</v>
      </c>
      <c r="Q781" t="s">
        <v>986</v>
      </c>
      <c r="R781" t="s">
        <v>1492</v>
      </c>
      <c r="S781" s="1">
        <v>44437</v>
      </c>
      <c r="T781" s="1">
        <v>44443</v>
      </c>
      <c r="U781">
        <v>37501</v>
      </c>
      <c r="V781" t="s">
        <v>61</v>
      </c>
      <c r="W781" t="s">
        <v>1493</v>
      </c>
      <c r="X781" s="1">
        <v>44447</v>
      </c>
      <c r="Y781" t="s">
        <v>63</v>
      </c>
      <c r="Z781">
        <v>22.22</v>
      </c>
      <c r="AA781">
        <v>16</v>
      </c>
      <c r="AB781">
        <v>1.78</v>
      </c>
      <c r="AC781">
        <v>0</v>
      </c>
      <c r="AD781">
        <v>24</v>
      </c>
      <c r="AE781">
        <v>7636.42</v>
      </c>
      <c r="AF781">
        <v>7091</v>
      </c>
      <c r="AG781" t="s">
        <v>1490</v>
      </c>
      <c r="AH781" t="s">
        <v>65</v>
      </c>
      <c r="AI781" t="s">
        <v>65</v>
      </c>
      <c r="AJ781" t="s">
        <v>66</v>
      </c>
      <c r="AK781" t="s">
        <v>66</v>
      </c>
      <c r="AL781" t="s">
        <v>66</v>
      </c>
      <c r="AM781" s="2" t="str">
        <f>HYPERLINK("https://transparencia.cidesi.mx/comprobantes/2021/CQ2100755 /C5FACTURA_1630953337635_343972425-c.pdf")</f>
        <v>https://transparencia.cidesi.mx/comprobantes/2021/CQ2100755 /C5FACTURA_1630953337635_343972425-c.pdf</v>
      </c>
      <c r="AN781" t="str">
        <f>HYPERLINK("https://transparencia.cidesi.mx/comprobantes/2021/CQ2100755 /C5FACTURA_1630953337635_343972425-c.pdf")</f>
        <v>https://transparencia.cidesi.mx/comprobantes/2021/CQ2100755 /C5FACTURA_1630953337635_343972425-c.pdf</v>
      </c>
      <c r="AO781" t="str">
        <f>HYPERLINK("https://transparencia.cidesi.mx/comprobantes/2021/CQ2100755 /C5FACTURA_1630953373905_343972425.xml")</f>
        <v>https://transparencia.cidesi.mx/comprobantes/2021/CQ2100755 /C5FACTURA_1630953373905_343972425.xml</v>
      </c>
      <c r="AP781" t="s">
        <v>1494</v>
      </c>
      <c r="AQ781" t="s">
        <v>1495</v>
      </c>
      <c r="AR781" t="s">
        <v>1496</v>
      </c>
      <c r="AS781" t="s">
        <v>1497</v>
      </c>
      <c r="AT781" s="1">
        <v>44448</v>
      </c>
      <c r="AU781" s="1">
        <v>44473</v>
      </c>
    </row>
    <row r="782" spans="1:47" x14ac:dyDescent="0.3">
      <c r="A782" t="s">
        <v>246</v>
      </c>
      <c r="B782" t="s">
        <v>182</v>
      </c>
      <c r="C782" t="s">
        <v>183</v>
      </c>
      <c r="D782">
        <v>755</v>
      </c>
      <c r="E782" t="s">
        <v>1479</v>
      </c>
      <c r="F782" t="s">
        <v>1480</v>
      </c>
      <c r="G782" t="s">
        <v>1481</v>
      </c>
      <c r="H782" t="s">
        <v>1491</v>
      </c>
      <c r="I782" t="s">
        <v>54</v>
      </c>
      <c r="J782" t="s">
        <v>1492</v>
      </c>
      <c r="K782" t="s">
        <v>56</v>
      </c>
      <c r="L782">
        <v>0</v>
      </c>
      <c r="M782" t="s">
        <v>73</v>
      </c>
      <c r="N782">
        <v>0</v>
      </c>
      <c r="O782" t="s">
        <v>58</v>
      </c>
      <c r="P782" t="s">
        <v>59</v>
      </c>
      <c r="Q782" t="s">
        <v>986</v>
      </c>
      <c r="R782" t="s">
        <v>1492</v>
      </c>
      <c r="S782" s="1">
        <v>44437</v>
      </c>
      <c r="T782" s="1">
        <v>44443</v>
      </c>
      <c r="U782">
        <v>37501</v>
      </c>
      <c r="V782" t="s">
        <v>61</v>
      </c>
      <c r="W782" t="s">
        <v>1493</v>
      </c>
      <c r="X782" s="1">
        <v>44447</v>
      </c>
      <c r="Y782" t="s">
        <v>63</v>
      </c>
      <c r="Z782">
        <v>116.94</v>
      </c>
      <c r="AA782">
        <v>16</v>
      </c>
      <c r="AB782">
        <v>8.56</v>
      </c>
      <c r="AC782">
        <v>0</v>
      </c>
      <c r="AD782">
        <v>125.5</v>
      </c>
      <c r="AE782">
        <v>7636.42</v>
      </c>
      <c r="AF782">
        <v>7091</v>
      </c>
      <c r="AG782" t="s">
        <v>1490</v>
      </c>
      <c r="AH782" t="s">
        <v>65</v>
      </c>
      <c r="AI782" t="s">
        <v>65</v>
      </c>
      <c r="AJ782" t="s">
        <v>66</v>
      </c>
      <c r="AK782" t="s">
        <v>66</v>
      </c>
      <c r="AL782" t="s">
        <v>66</v>
      </c>
      <c r="AM782" s="2" t="str">
        <f>HYPERLINK("https://transparencia.cidesi.mx/comprobantes/2021/CQ2100755 /C6FACTURA_1630953119145_343971825.pdf")</f>
        <v>https://transparencia.cidesi.mx/comprobantes/2021/CQ2100755 /C6FACTURA_1630953119145_343971825.pdf</v>
      </c>
      <c r="AN782" t="str">
        <f>HYPERLINK("https://transparencia.cidesi.mx/comprobantes/2021/CQ2100755 /C6FACTURA_1630953119145_343971825.pdf")</f>
        <v>https://transparencia.cidesi.mx/comprobantes/2021/CQ2100755 /C6FACTURA_1630953119145_343971825.pdf</v>
      </c>
      <c r="AO782" t="str">
        <f>HYPERLINK("https://transparencia.cidesi.mx/comprobantes/2021/CQ2100755 /C6FACTURA_1630953155174_343971825.xml")</f>
        <v>https://transparencia.cidesi.mx/comprobantes/2021/CQ2100755 /C6FACTURA_1630953155174_343971825.xml</v>
      </c>
      <c r="AP782" t="s">
        <v>1494</v>
      </c>
      <c r="AQ782" t="s">
        <v>1495</v>
      </c>
      <c r="AR782" t="s">
        <v>1496</v>
      </c>
      <c r="AS782" t="s">
        <v>1497</v>
      </c>
      <c r="AT782" s="1">
        <v>44448</v>
      </c>
      <c r="AU782" s="1">
        <v>44473</v>
      </c>
    </row>
    <row r="783" spans="1:47" x14ac:dyDescent="0.3">
      <c r="A783" t="s">
        <v>246</v>
      </c>
      <c r="B783" t="s">
        <v>182</v>
      </c>
      <c r="C783" t="s">
        <v>183</v>
      </c>
      <c r="D783">
        <v>755</v>
      </c>
      <c r="E783" t="s">
        <v>1479</v>
      </c>
      <c r="F783" t="s">
        <v>1480</v>
      </c>
      <c r="G783" t="s">
        <v>1481</v>
      </c>
      <c r="H783" t="s">
        <v>1491</v>
      </c>
      <c r="I783" t="s">
        <v>54</v>
      </c>
      <c r="J783" t="s">
        <v>1492</v>
      </c>
      <c r="K783" t="s">
        <v>56</v>
      </c>
      <c r="L783">
        <v>0</v>
      </c>
      <c r="M783" t="s">
        <v>73</v>
      </c>
      <c r="N783">
        <v>0</v>
      </c>
      <c r="O783" t="s">
        <v>58</v>
      </c>
      <c r="P783" t="s">
        <v>59</v>
      </c>
      <c r="Q783" t="s">
        <v>986</v>
      </c>
      <c r="R783" t="s">
        <v>1492</v>
      </c>
      <c r="S783" s="1">
        <v>44437</v>
      </c>
      <c r="T783" s="1">
        <v>44443</v>
      </c>
      <c r="U783">
        <v>37501</v>
      </c>
      <c r="V783" t="s">
        <v>61</v>
      </c>
      <c r="W783" t="s">
        <v>1493</v>
      </c>
      <c r="X783" s="1">
        <v>44447</v>
      </c>
      <c r="Y783" t="s">
        <v>63</v>
      </c>
      <c r="Z783">
        <v>225.86</v>
      </c>
      <c r="AA783">
        <v>16</v>
      </c>
      <c r="AB783">
        <v>36.14</v>
      </c>
      <c r="AC783">
        <v>26.2</v>
      </c>
      <c r="AD783">
        <v>288.2</v>
      </c>
      <c r="AE783">
        <v>7636.42</v>
      </c>
      <c r="AF783">
        <v>7091</v>
      </c>
      <c r="AG783" t="s">
        <v>1490</v>
      </c>
      <c r="AH783" t="s">
        <v>65</v>
      </c>
      <c r="AI783" t="s">
        <v>65</v>
      </c>
      <c r="AJ783" t="s">
        <v>66</v>
      </c>
      <c r="AK783" t="s">
        <v>66</v>
      </c>
      <c r="AL783" t="s">
        <v>66</v>
      </c>
      <c r="AM783" s="2" t="str">
        <f>HYPERLINK("https://transparencia.cidesi.mx/comprobantes/2021/CQ2100755 /C7FD0000107460.pdf")</f>
        <v>https://transparencia.cidesi.mx/comprobantes/2021/CQ2100755 /C7FD0000107460.pdf</v>
      </c>
      <c r="AN783" t="str">
        <f>HYPERLINK("https://transparencia.cidesi.mx/comprobantes/2021/CQ2100755 /C7FD0000107460.pdf")</f>
        <v>https://transparencia.cidesi.mx/comprobantes/2021/CQ2100755 /C7FD0000107460.pdf</v>
      </c>
      <c r="AO783" t="str">
        <f>HYPERLINK("https://transparencia.cidesi.mx/comprobantes/2021/CQ2100755 /C7FD0000107460.xml")</f>
        <v>https://transparencia.cidesi.mx/comprobantes/2021/CQ2100755 /C7FD0000107460.xml</v>
      </c>
      <c r="AP783" t="s">
        <v>1494</v>
      </c>
      <c r="AQ783" t="s">
        <v>1495</v>
      </c>
      <c r="AR783" t="s">
        <v>1496</v>
      </c>
      <c r="AS783" t="s">
        <v>1497</v>
      </c>
      <c r="AT783" s="1">
        <v>44448</v>
      </c>
      <c r="AU783" s="1">
        <v>44473</v>
      </c>
    </row>
    <row r="784" spans="1:47" x14ac:dyDescent="0.3">
      <c r="A784" t="s">
        <v>246</v>
      </c>
      <c r="B784" t="s">
        <v>182</v>
      </c>
      <c r="C784" t="s">
        <v>183</v>
      </c>
      <c r="D784">
        <v>755</v>
      </c>
      <c r="E784" t="s">
        <v>1479</v>
      </c>
      <c r="F784" t="s">
        <v>1480</v>
      </c>
      <c r="G784" t="s">
        <v>1481</v>
      </c>
      <c r="H784" t="s">
        <v>1491</v>
      </c>
      <c r="I784" t="s">
        <v>54</v>
      </c>
      <c r="J784" t="s">
        <v>1492</v>
      </c>
      <c r="K784" t="s">
        <v>56</v>
      </c>
      <c r="L784">
        <v>0</v>
      </c>
      <c r="M784" t="s">
        <v>73</v>
      </c>
      <c r="N784">
        <v>0</v>
      </c>
      <c r="O784" t="s">
        <v>58</v>
      </c>
      <c r="P784" t="s">
        <v>59</v>
      </c>
      <c r="Q784" t="s">
        <v>986</v>
      </c>
      <c r="R784" t="s">
        <v>1492</v>
      </c>
      <c r="S784" s="1">
        <v>44437</v>
      </c>
      <c r="T784" s="1">
        <v>44443</v>
      </c>
      <c r="U784">
        <v>37501</v>
      </c>
      <c r="V784" t="s">
        <v>61</v>
      </c>
      <c r="W784" t="s">
        <v>1493</v>
      </c>
      <c r="X784" s="1">
        <v>44447</v>
      </c>
      <c r="Y784" t="s">
        <v>63</v>
      </c>
      <c r="Z784">
        <v>586.21</v>
      </c>
      <c r="AA784">
        <v>16</v>
      </c>
      <c r="AB784">
        <v>93.79</v>
      </c>
      <c r="AC784">
        <v>0</v>
      </c>
      <c r="AD784">
        <v>680</v>
      </c>
      <c r="AE784">
        <v>7636.42</v>
      </c>
      <c r="AF784">
        <v>7091</v>
      </c>
      <c r="AG784" t="s">
        <v>1490</v>
      </c>
      <c r="AH784" t="s">
        <v>65</v>
      </c>
      <c r="AI784" t="s">
        <v>65</v>
      </c>
      <c r="AJ784" t="s">
        <v>66</v>
      </c>
      <c r="AK784" t="s">
        <v>66</v>
      </c>
      <c r="AL784" t="s">
        <v>66</v>
      </c>
      <c r="AM784" s="2" t="str">
        <f>HYPERLINK("https://transparencia.cidesi.mx/comprobantes/2021/CQ2100755 /C8CUMY730124TB2_Factura__37430_8DF2AF29-6A50-429A-8B25-3ABD9C4FE149.pdf")</f>
        <v>https://transparencia.cidesi.mx/comprobantes/2021/CQ2100755 /C8CUMY730124TB2_Factura__37430_8DF2AF29-6A50-429A-8B25-3ABD9C4FE149.pdf</v>
      </c>
      <c r="AN784" t="str">
        <f>HYPERLINK("https://transparencia.cidesi.mx/comprobantes/2021/CQ2100755 /C8CUMY730124TB2_Factura__37430_8DF2AF29-6A50-429A-8B25-3ABD9C4FE149.pdf")</f>
        <v>https://transparencia.cidesi.mx/comprobantes/2021/CQ2100755 /C8CUMY730124TB2_Factura__37430_8DF2AF29-6A50-429A-8B25-3ABD9C4FE149.pdf</v>
      </c>
      <c r="AO784" t="str">
        <f>HYPERLINK("https://transparencia.cidesi.mx/comprobantes/2021/CQ2100755 /C8CUMY730124TB2_Factura__37430_8DF2AF29-6A50-429A-8B25-3ABD9C4FE149.xml")</f>
        <v>https://transparencia.cidesi.mx/comprobantes/2021/CQ2100755 /C8CUMY730124TB2_Factura__37430_8DF2AF29-6A50-429A-8B25-3ABD9C4FE149.xml</v>
      </c>
      <c r="AP784" t="s">
        <v>1494</v>
      </c>
      <c r="AQ784" t="s">
        <v>1495</v>
      </c>
      <c r="AR784" t="s">
        <v>1496</v>
      </c>
      <c r="AS784" t="s">
        <v>1497</v>
      </c>
      <c r="AT784" s="1">
        <v>44448</v>
      </c>
      <c r="AU784" s="1">
        <v>44473</v>
      </c>
    </row>
    <row r="785" spans="1:47" x14ac:dyDescent="0.3">
      <c r="A785" t="s">
        <v>246</v>
      </c>
      <c r="B785" t="s">
        <v>182</v>
      </c>
      <c r="C785" t="s">
        <v>183</v>
      </c>
      <c r="D785">
        <v>755</v>
      </c>
      <c r="E785" t="s">
        <v>1479</v>
      </c>
      <c r="F785" t="s">
        <v>1480</v>
      </c>
      <c r="G785" t="s">
        <v>1481</v>
      </c>
      <c r="H785" t="s">
        <v>1491</v>
      </c>
      <c r="I785" t="s">
        <v>54</v>
      </c>
      <c r="J785" t="s">
        <v>1492</v>
      </c>
      <c r="K785" t="s">
        <v>56</v>
      </c>
      <c r="L785">
        <v>0</v>
      </c>
      <c r="M785" t="s">
        <v>73</v>
      </c>
      <c r="N785">
        <v>0</v>
      </c>
      <c r="O785" t="s">
        <v>58</v>
      </c>
      <c r="P785" t="s">
        <v>59</v>
      </c>
      <c r="Q785" t="s">
        <v>986</v>
      </c>
      <c r="R785" t="s">
        <v>1492</v>
      </c>
      <c r="S785" s="1">
        <v>44437</v>
      </c>
      <c r="T785" s="1">
        <v>44443</v>
      </c>
      <c r="U785">
        <v>37501</v>
      </c>
      <c r="V785" t="s">
        <v>61</v>
      </c>
      <c r="W785" t="s">
        <v>1493</v>
      </c>
      <c r="X785" s="1">
        <v>44447</v>
      </c>
      <c r="Y785" t="s">
        <v>63</v>
      </c>
      <c r="Z785">
        <v>335.35</v>
      </c>
      <c r="AA785">
        <v>16</v>
      </c>
      <c r="AB785">
        <v>53.65</v>
      </c>
      <c r="AC785">
        <v>0</v>
      </c>
      <c r="AD785">
        <v>389</v>
      </c>
      <c r="AE785">
        <v>7636.42</v>
      </c>
      <c r="AF785">
        <v>7091</v>
      </c>
      <c r="AG785" t="s">
        <v>1490</v>
      </c>
      <c r="AH785" t="s">
        <v>65</v>
      </c>
      <c r="AI785" t="s">
        <v>65</v>
      </c>
      <c r="AJ785" t="s">
        <v>66</v>
      </c>
      <c r="AK785" t="s">
        <v>66</v>
      </c>
      <c r="AL785" t="s">
        <v>66</v>
      </c>
      <c r="AM785" s="2" t="str">
        <f>HYPERLINK("https://transparencia.cidesi.mx/comprobantes/2021/CQ2100755 /C9F0000094565.pdf")</f>
        <v>https://transparencia.cidesi.mx/comprobantes/2021/CQ2100755 /C9F0000094565.pdf</v>
      </c>
      <c r="AN785" t="str">
        <f>HYPERLINK("https://transparencia.cidesi.mx/comprobantes/2021/CQ2100755 /C9F0000094565.pdf")</f>
        <v>https://transparencia.cidesi.mx/comprobantes/2021/CQ2100755 /C9F0000094565.pdf</v>
      </c>
      <c r="AO785" t="str">
        <f>HYPERLINK("https://transparencia.cidesi.mx/comprobantes/2021/CQ2100755 /C9F0000094565.xml")</f>
        <v>https://transparencia.cidesi.mx/comprobantes/2021/CQ2100755 /C9F0000094565.xml</v>
      </c>
      <c r="AP785" t="s">
        <v>1494</v>
      </c>
      <c r="AQ785" t="s">
        <v>1495</v>
      </c>
      <c r="AR785" t="s">
        <v>1496</v>
      </c>
      <c r="AS785" t="s">
        <v>1497</v>
      </c>
      <c r="AT785" s="1">
        <v>44448</v>
      </c>
      <c r="AU785" s="1">
        <v>44473</v>
      </c>
    </row>
    <row r="786" spans="1:47" x14ac:dyDescent="0.3">
      <c r="A786" t="s">
        <v>246</v>
      </c>
      <c r="B786" t="s">
        <v>182</v>
      </c>
      <c r="C786" t="s">
        <v>183</v>
      </c>
      <c r="D786">
        <v>755</v>
      </c>
      <c r="E786" t="s">
        <v>1479</v>
      </c>
      <c r="F786" t="s">
        <v>1480</v>
      </c>
      <c r="G786" t="s">
        <v>1481</v>
      </c>
      <c r="H786" t="s">
        <v>1491</v>
      </c>
      <c r="I786" t="s">
        <v>54</v>
      </c>
      <c r="J786" t="s">
        <v>1492</v>
      </c>
      <c r="K786" t="s">
        <v>56</v>
      </c>
      <c r="L786">
        <v>0</v>
      </c>
      <c r="M786" t="s">
        <v>73</v>
      </c>
      <c r="N786">
        <v>0</v>
      </c>
      <c r="O786" t="s">
        <v>58</v>
      </c>
      <c r="P786" t="s">
        <v>59</v>
      </c>
      <c r="Q786" t="s">
        <v>986</v>
      </c>
      <c r="R786" t="s">
        <v>1492</v>
      </c>
      <c r="S786" s="1">
        <v>44437</v>
      </c>
      <c r="T786" s="1">
        <v>44443</v>
      </c>
      <c r="U786">
        <v>37501</v>
      </c>
      <c r="V786" t="s">
        <v>104</v>
      </c>
      <c r="W786" t="s">
        <v>1493</v>
      </c>
      <c r="X786" s="1">
        <v>44447</v>
      </c>
      <c r="Y786" t="s">
        <v>63</v>
      </c>
      <c r="Z786">
        <v>689.87</v>
      </c>
      <c r="AA786">
        <v>16</v>
      </c>
      <c r="AB786">
        <v>105.12</v>
      </c>
      <c r="AC786">
        <v>0</v>
      </c>
      <c r="AD786">
        <v>794.99</v>
      </c>
      <c r="AE786">
        <v>7636.42</v>
      </c>
      <c r="AF786">
        <v>7091</v>
      </c>
      <c r="AG786" t="s">
        <v>1485</v>
      </c>
      <c r="AH786" t="s">
        <v>65</v>
      </c>
      <c r="AI786" t="s">
        <v>65</v>
      </c>
      <c r="AJ786" t="s">
        <v>66</v>
      </c>
      <c r="AK786" t="s">
        <v>66</v>
      </c>
      <c r="AL786" t="s">
        <v>66</v>
      </c>
      <c r="AM786" s="2" t="str">
        <f>HYPERLINK("https://transparencia.cidesi.mx/comprobantes/2021/CQ2100755 /C10GTC161215MH7_Factura__2190_CBBBD6F2-5B38-46B9-B719-0AE9A09C5C77.pdf")</f>
        <v>https://transparencia.cidesi.mx/comprobantes/2021/CQ2100755 /C10GTC161215MH7_Factura__2190_CBBBD6F2-5B38-46B9-B719-0AE9A09C5C77.pdf</v>
      </c>
      <c r="AN786" t="str">
        <f>HYPERLINK("https://transparencia.cidesi.mx/comprobantes/2021/CQ2100755 /C10GTC161215MH7_Factura__2190_CBBBD6F2-5B38-46B9-B719-0AE9A09C5C77.pdf")</f>
        <v>https://transparencia.cidesi.mx/comprobantes/2021/CQ2100755 /C10GTC161215MH7_Factura__2190_CBBBD6F2-5B38-46B9-B719-0AE9A09C5C77.pdf</v>
      </c>
      <c r="AO786" t="str">
        <f>HYPERLINK("https://transparencia.cidesi.mx/comprobantes/2021/CQ2100755 /C10GTC161215MH7_Factura__2190_CBBBD6F2-5B38-46B9-B719-0AE9A09C5C77.xml")</f>
        <v>https://transparencia.cidesi.mx/comprobantes/2021/CQ2100755 /C10GTC161215MH7_Factura__2190_CBBBD6F2-5B38-46B9-B719-0AE9A09C5C77.xml</v>
      </c>
      <c r="AP786" t="s">
        <v>1494</v>
      </c>
      <c r="AQ786" t="s">
        <v>1495</v>
      </c>
      <c r="AR786" t="s">
        <v>1496</v>
      </c>
      <c r="AS786" t="s">
        <v>1497</v>
      </c>
      <c r="AT786" s="1">
        <v>44448</v>
      </c>
      <c r="AU786" s="1">
        <v>44473</v>
      </c>
    </row>
    <row r="787" spans="1:47" x14ac:dyDescent="0.3">
      <c r="A787" t="s">
        <v>246</v>
      </c>
      <c r="B787" t="s">
        <v>182</v>
      </c>
      <c r="C787" t="s">
        <v>183</v>
      </c>
      <c r="D787">
        <v>755</v>
      </c>
      <c r="E787" t="s">
        <v>1479</v>
      </c>
      <c r="F787" t="s">
        <v>1480</v>
      </c>
      <c r="G787" t="s">
        <v>1481</v>
      </c>
      <c r="H787" t="s">
        <v>1491</v>
      </c>
      <c r="I787" t="s">
        <v>54</v>
      </c>
      <c r="J787" t="s">
        <v>1492</v>
      </c>
      <c r="K787" t="s">
        <v>56</v>
      </c>
      <c r="L787">
        <v>0</v>
      </c>
      <c r="M787" t="s">
        <v>73</v>
      </c>
      <c r="N787">
        <v>0</v>
      </c>
      <c r="O787" t="s">
        <v>58</v>
      </c>
      <c r="P787" t="s">
        <v>59</v>
      </c>
      <c r="Q787" t="s">
        <v>986</v>
      </c>
      <c r="R787" t="s">
        <v>1492</v>
      </c>
      <c r="S787" s="1">
        <v>44437</v>
      </c>
      <c r="T787" s="1">
        <v>44443</v>
      </c>
      <c r="U787">
        <v>37501</v>
      </c>
      <c r="V787" t="s">
        <v>61</v>
      </c>
      <c r="W787" t="s">
        <v>1493</v>
      </c>
      <c r="X787" s="1">
        <v>44447</v>
      </c>
      <c r="Y787" t="s">
        <v>63</v>
      </c>
      <c r="Z787">
        <v>108.62</v>
      </c>
      <c r="AA787">
        <v>16</v>
      </c>
      <c r="AB787">
        <v>17.38</v>
      </c>
      <c r="AC787">
        <v>0</v>
      </c>
      <c r="AD787">
        <v>126</v>
      </c>
      <c r="AE787">
        <v>7636.42</v>
      </c>
      <c r="AF787">
        <v>7091</v>
      </c>
      <c r="AG787" t="s">
        <v>1490</v>
      </c>
      <c r="AH787" t="s">
        <v>65</v>
      </c>
      <c r="AI787" t="s">
        <v>65</v>
      </c>
      <c r="AJ787" t="s">
        <v>66</v>
      </c>
      <c r="AK787" t="s">
        <v>66</v>
      </c>
      <c r="AL787" t="s">
        <v>66</v>
      </c>
      <c r="AM787" s="2" t="str">
        <f>HYPERLINK("https://transparencia.cidesi.mx/comprobantes/2021/CQ2100755 /C11CID840309UG7_A_5441_20210830.pdf")</f>
        <v>https://transparencia.cidesi.mx/comprobantes/2021/CQ2100755 /C11CID840309UG7_A_5441_20210830.pdf</v>
      </c>
      <c r="AN787" t="str">
        <f>HYPERLINK("https://transparencia.cidesi.mx/comprobantes/2021/CQ2100755 /C11CID840309UG7_A_5441_20210830.pdf")</f>
        <v>https://transparencia.cidesi.mx/comprobantes/2021/CQ2100755 /C11CID840309UG7_A_5441_20210830.pdf</v>
      </c>
      <c r="AO787" t="str">
        <f>HYPERLINK("https://transparencia.cidesi.mx/comprobantes/2021/CQ2100755 /C11CID840309UG7_A_5441_20210830.xml")</f>
        <v>https://transparencia.cidesi.mx/comprobantes/2021/CQ2100755 /C11CID840309UG7_A_5441_20210830.xml</v>
      </c>
      <c r="AP787" t="s">
        <v>1494</v>
      </c>
      <c r="AQ787" t="s">
        <v>1495</v>
      </c>
      <c r="AR787" t="s">
        <v>1496</v>
      </c>
      <c r="AS787" t="s">
        <v>1497</v>
      </c>
      <c r="AT787" s="1">
        <v>44448</v>
      </c>
      <c r="AU787" s="1">
        <v>44473</v>
      </c>
    </row>
    <row r="788" spans="1:47" x14ac:dyDescent="0.3">
      <c r="A788" t="s">
        <v>246</v>
      </c>
      <c r="B788" t="s">
        <v>182</v>
      </c>
      <c r="C788" t="s">
        <v>183</v>
      </c>
      <c r="D788">
        <v>755</v>
      </c>
      <c r="E788" t="s">
        <v>1479</v>
      </c>
      <c r="F788" t="s">
        <v>1480</v>
      </c>
      <c r="G788" t="s">
        <v>1481</v>
      </c>
      <c r="H788" t="s">
        <v>1491</v>
      </c>
      <c r="I788" t="s">
        <v>54</v>
      </c>
      <c r="J788" t="s">
        <v>1492</v>
      </c>
      <c r="K788" t="s">
        <v>56</v>
      </c>
      <c r="L788">
        <v>0</v>
      </c>
      <c r="M788" t="s">
        <v>73</v>
      </c>
      <c r="N788">
        <v>0</v>
      </c>
      <c r="O788" t="s">
        <v>58</v>
      </c>
      <c r="P788" t="s">
        <v>59</v>
      </c>
      <c r="Q788" t="s">
        <v>986</v>
      </c>
      <c r="R788" t="s">
        <v>1492</v>
      </c>
      <c r="S788" s="1">
        <v>44437</v>
      </c>
      <c r="T788" s="1">
        <v>44443</v>
      </c>
      <c r="U788">
        <v>37501</v>
      </c>
      <c r="V788" t="s">
        <v>61</v>
      </c>
      <c r="W788" t="s">
        <v>1493</v>
      </c>
      <c r="X788" s="1">
        <v>44447</v>
      </c>
      <c r="Y788" t="s">
        <v>63</v>
      </c>
      <c r="Z788">
        <v>344.83</v>
      </c>
      <c r="AA788">
        <v>16</v>
      </c>
      <c r="AB788">
        <v>55.17</v>
      </c>
      <c r="AC788">
        <v>40</v>
      </c>
      <c r="AD788">
        <v>440</v>
      </c>
      <c r="AE788">
        <v>7636.42</v>
      </c>
      <c r="AF788">
        <v>7091</v>
      </c>
      <c r="AG788" t="s">
        <v>1490</v>
      </c>
      <c r="AH788" t="s">
        <v>65</v>
      </c>
      <c r="AI788" t="s">
        <v>65</v>
      </c>
      <c r="AJ788" t="s">
        <v>66</v>
      </c>
      <c r="AK788" t="s">
        <v>66</v>
      </c>
      <c r="AL788" t="s">
        <v>66</v>
      </c>
      <c r="AM788" s="2" t="str">
        <f>HYPERLINK("https://transparencia.cidesi.mx/comprobantes/2021/CQ2100755 /C12RORR791119M94_Factura__37991_71BF7254-4918-4D9A-B215-60642B1ADD42.pdf")</f>
        <v>https://transparencia.cidesi.mx/comprobantes/2021/CQ2100755 /C12RORR791119M94_Factura__37991_71BF7254-4918-4D9A-B215-60642B1ADD42.pdf</v>
      </c>
      <c r="AN788" t="str">
        <f>HYPERLINK("https://transparencia.cidesi.mx/comprobantes/2021/CQ2100755 /C12RORR791119M94_Factura__37991_71BF7254-4918-4D9A-B215-60642B1ADD42.pdf")</f>
        <v>https://transparencia.cidesi.mx/comprobantes/2021/CQ2100755 /C12RORR791119M94_Factura__37991_71BF7254-4918-4D9A-B215-60642B1ADD42.pdf</v>
      </c>
      <c r="AO788" t="str">
        <f>HYPERLINK("https://transparencia.cidesi.mx/comprobantes/2021/CQ2100755 /C12RORR791119M94_Factura__37991_71BF7254-4918-4D9A-B215-60642B1ADD42.xml")</f>
        <v>https://transparencia.cidesi.mx/comprobantes/2021/CQ2100755 /C12RORR791119M94_Factura__37991_71BF7254-4918-4D9A-B215-60642B1ADD42.xml</v>
      </c>
      <c r="AP788" t="s">
        <v>1494</v>
      </c>
      <c r="AQ788" t="s">
        <v>1495</v>
      </c>
      <c r="AR788" t="s">
        <v>1496</v>
      </c>
      <c r="AS788" t="s">
        <v>1497</v>
      </c>
      <c r="AT788" s="1">
        <v>44448</v>
      </c>
      <c r="AU788" s="1">
        <v>44473</v>
      </c>
    </row>
    <row r="789" spans="1:47" x14ac:dyDescent="0.3">
      <c r="A789" t="s">
        <v>246</v>
      </c>
      <c r="B789" t="s">
        <v>182</v>
      </c>
      <c r="C789" t="s">
        <v>183</v>
      </c>
      <c r="D789">
        <v>755</v>
      </c>
      <c r="E789" t="s">
        <v>1479</v>
      </c>
      <c r="F789" t="s">
        <v>1480</v>
      </c>
      <c r="G789" t="s">
        <v>1481</v>
      </c>
      <c r="H789" t="s">
        <v>1491</v>
      </c>
      <c r="I789" t="s">
        <v>54</v>
      </c>
      <c r="J789" t="s">
        <v>1492</v>
      </c>
      <c r="K789" t="s">
        <v>56</v>
      </c>
      <c r="L789">
        <v>0</v>
      </c>
      <c r="M789" t="s">
        <v>73</v>
      </c>
      <c r="N789">
        <v>0</v>
      </c>
      <c r="O789" t="s">
        <v>58</v>
      </c>
      <c r="P789" t="s">
        <v>59</v>
      </c>
      <c r="Q789" t="s">
        <v>986</v>
      </c>
      <c r="R789" t="s">
        <v>1492</v>
      </c>
      <c r="S789" s="1">
        <v>44437</v>
      </c>
      <c r="T789" s="1">
        <v>44443</v>
      </c>
      <c r="U789">
        <v>37501</v>
      </c>
      <c r="V789" t="s">
        <v>61</v>
      </c>
      <c r="W789" t="s">
        <v>1493</v>
      </c>
      <c r="X789" s="1">
        <v>44447</v>
      </c>
      <c r="Y789" t="s">
        <v>63</v>
      </c>
      <c r="Z789">
        <v>142.24</v>
      </c>
      <c r="AA789">
        <v>16</v>
      </c>
      <c r="AB789">
        <v>22.76</v>
      </c>
      <c r="AC789">
        <v>0</v>
      </c>
      <c r="AD789">
        <v>165</v>
      </c>
      <c r="AE789">
        <v>7636.42</v>
      </c>
      <c r="AF789">
        <v>7091</v>
      </c>
      <c r="AG789" t="s">
        <v>1490</v>
      </c>
      <c r="AH789" t="s">
        <v>65</v>
      </c>
      <c r="AI789" t="s">
        <v>65</v>
      </c>
      <c r="AJ789" t="s">
        <v>66</v>
      </c>
      <c r="AK789" t="s">
        <v>66</v>
      </c>
      <c r="AL789" t="s">
        <v>66</v>
      </c>
      <c r="AM789" s="2" t="str">
        <f>HYPERLINK("https://transparencia.cidesi.mx/comprobantes/2021/CQ2100755 /C13RORR791119M94_Factura__38145_3DFCE6B0-5D8E-4A7C-8F76-E6105B6F3B73.pdf")</f>
        <v>https://transparencia.cidesi.mx/comprobantes/2021/CQ2100755 /C13RORR791119M94_Factura__38145_3DFCE6B0-5D8E-4A7C-8F76-E6105B6F3B73.pdf</v>
      </c>
      <c r="AN789" t="str">
        <f>HYPERLINK("https://transparencia.cidesi.mx/comprobantes/2021/CQ2100755 /C13RORR791119M94_Factura__38145_3DFCE6B0-5D8E-4A7C-8F76-E6105B6F3B73.pdf")</f>
        <v>https://transparencia.cidesi.mx/comprobantes/2021/CQ2100755 /C13RORR791119M94_Factura__38145_3DFCE6B0-5D8E-4A7C-8F76-E6105B6F3B73.pdf</v>
      </c>
      <c r="AO789" t="str">
        <f>HYPERLINK("https://transparencia.cidesi.mx/comprobantes/2021/CQ2100755 /C13RORR791119M94_Factura__38145_3DFCE6B0-5D8E-4A7C-8F76-E6105B6F3B73.xml")</f>
        <v>https://transparencia.cidesi.mx/comprobantes/2021/CQ2100755 /C13RORR791119M94_Factura__38145_3DFCE6B0-5D8E-4A7C-8F76-E6105B6F3B73.xml</v>
      </c>
      <c r="AP789" t="s">
        <v>1494</v>
      </c>
      <c r="AQ789" t="s">
        <v>1495</v>
      </c>
      <c r="AR789" t="s">
        <v>1496</v>
      </c>
      <c r="AS789" t="s">
        <v>1497</v>
      </c>
      <c r="AT789" s="1">
        <v>44448</v>
      </c>
      <c r="AU789" s="1">
        <v>44473</v>
      </c>
    </row>
    <row r="790" spans="1:47" x14ac:dyDescent="0.3">
      <c r="A790" t="s">
        <v>246</v>
      </c>
      <c r="B790" t="s">
        <v>182</v>
      </c>
      <c r="C790" t="s">
        <v>183</v>
      </c>
      <c r="D790">
        <v>755</v>
      </c>
      <c r="E790" t="s">
        <v>1479</v>
      </c>
      <c r="F790" t="s">
        <v>1480</v>
      </c>
      <c r="G790" t="s">
        <v>1481</v>
      </c>
      <c r="H790" t="s">
        <v>1491</v>
      </c>
      <c r="I790" t="s">
        <v>54</v>
      </c>
      <c r="J790" t="s">
        <v>1492</v>
      </c>
      <c r="K790" t="s">
        <v>56</v>
      </c>
      <c r="L790">
        <v>0</v>
      </c>
      <c r="M790" t="s">
        <v>73</v>
      </c>
      <c r="N790">
        <v>0</v>
      </c>
      <c r="O790" t="s">
        <v>58</v>
      </c>
      <c r="P790" t="s">
        <v>59</v>
      </c>
      <c r="Q790" t="s">
        <v>986</v>
      </c>
      <c r="R790" t="s">
        <v>1492</v>
      </c>
      <c r="S790" s="1">
        <v>44437</v>
      </c>
      <c r="T790" s="1">
        <v>44443</v>
      </c>
      <c r="U790">
        <v>37501</v>
      </c>
      <c r="V790" t="s">
        <v>104</v>
      </c>
      <c r="W790" t="s">
        <v>1493</v>
      </c>
      <c r="X790" s="1">
        <v>44447</v>
      </c>
      <c r="Y790" t="s">
        <v>63</v>
      </c>
      <c r="Z790">
        <v>665.59</v>
      </c>
      <c r="AA790">
        <v>16</v>
      </c>
      <c r="AB790">
        <v>104.41</v>
      </c>
      <c r="AC790">
        <v>0</v>
      </c>
      <c r="AD790">
        <v>770</v>
      </c>
      <c r="AE790">
        <v>7636.42</v>
      </c>
      <c r="AF790">
        <v>7091</v>
      </c>
      <c r="AG790" t="s">
        <v>1485</v>
      </c>
      <c r="AH790" t="s">
        <v>65</v>
      </c>
      <c r="AI790" t="s">
        <v>65</v>
      </c>
      <c r="AJ790" t="s">
        <v>66</v>
      </c>
      <c r="AK790" t="s">
        <v>66</v>
      </c>
      <c r="AL790" t="s">
        <v>66</v>
      </c>
      <c r="AM790" s="2" t="str">
        <f>HYPERLINK("https://transparencia.cidesi.mx/comprobantes/2021/CQ2100755 /C14FH0000008268.pdf")</f>
        <v>https://transparencia.cidesi.mx/comprobantes/2021/CQ2100755 /C14FH0000008268.pdf</v>
      </c>
      <c r="AN790" t="str">
        <f>HYPERLINK("https://transparencia.cidesi.mx/comprobantes/2021/CQ2100755 /C14FH0000008268.pdf")</f>
        <v>https://transparencia.cidesi.mx/comprobantes/2021/CQ2100755 /C14FH0000008268.pdf</v>
      </c>
      <c r="AO790" t="str">
        <f>HYPERLINK("https://transparencia.cidesi.mx/comprobantes/2021/CQ2100755 /C14FH0000008268.xml")</f>
        <v>https://transparencia.cidesi.mx/comprobantes/2021/CQ2100755 /C14FH0000008268.xml</v>
      </c>
      <c r="AP790" t="s">
        <v>1494</v>
      </c>
      <c r="AQ790" t="s">
        <v>1495</v>
      </c>
      <c r="AR790" t="s">
        <v>1496</v>
      </c>
      <c r="AS790" t="s">
        <v>1497</v>
      </c>
      <c r="AT790" s="1">
        <v>44448</v>
      </c>
      <c r="AU790" s="1">
        <v>44473</v>
      </c>
    </row>
    <row r="791" spans="1:47" x14ac:dyDescent="0.3">
      <c r="A791" t="s">
        <v>246</v>
      </c>
      <c r="B791" t="s">
        <v>182</v>
      </c>
      <c r="C791" t="s">
        <v>183</v>
      </c>
      <c r="D791">
        <v>755</v>
      </c>
      <c r="E791" t="s">
        <v>1479</v>
      </c>
      <c r="F791" t="s">
        <v>1480</v>
      </c>
      <c r="G791" t="s">
        <v>1481</v>
      </c>
      <c r="H791" t="s">
        <v>1491</v>
      </c>
      <c r="I791" t="s">
        <v>54</v>
      </c>
      <c r="J791" t="s">
        <v>1492</v>
      </c>
      <c r="K791" t="s">
        <v>56</v>
      </c>
      <c r="L791">
        <v>0</v>
      </c>
      <c r="M791" t="s">
        <v>73</v>
      </c>
      <c r="N791">
        <v>0</v>
      </c>
      <c r="O791" t="s">
        <v>58</v>
      </c>
      <c r="P791" t="s">
        <v>59</v>
      </c>
      <c r="Q791" t="s">
        <v>986</v>
      </c>
      <c r="R791" t="s">
        <v>1492</v>
      </c>
      <c r="S791" s="1">
        <v>44437</v>
      </c>
      <c r="T791" s="1">
        <v>44443</v>
      </c>
      <c r="U791">
        <v>37501</v>
      </c>
      <c r="V791" t="s">
        <v>61</v>
      </c>
      <c r="W791" t="s">
        <v>1493</v>
      </c>
      <c r="X791" s="1">
        <v>44447</v>
      </c>
      <c r="Y791" t="s">
        <v>63</v>
      </c>
      <c r="Z791">
        <v>630.4</v>
      </c>
      <c r="AA791">
        <v>16</v>
      </c>
      <c r="AB791">
        <v>98.6</v>
      </c>
      <c r="AC791">
        <v>0</v>
      </c>
      <c r="AD791">
        <v>729</v>
      </c>
      <c r="AE791">
        <v>7636.42</v>
      </c>
      <c r="AF791">
        <v>7091</v>
      </c>
      <c r="AG791" t="s">
        <v>1490</v>
      </c>
      <c r="AH791" t="s">
        <v>65</v>
      </c>
      <c r="AI791" t="s">
        <v>65</v>
      </c>
      <c r="AJ791" t="s">
        <v>66</v>
      </c>
      <c r="AK791" t="s">
        <v>66</v>
      </c>
      <c r="AL791" t="s">
        <v>66</v>
      </c>
      <c r="AM791" s="2" t="str">
        <f>HYPERLINK("https://transparencia.cidesi.mx/comprobantes/2021/CQ2100755 /C15CID840309UG7_I_30_Aug_2021_08_29_29_240.pdf")</f>
        <v>https://transparencia.cidesi.mx/comprobantes/2021/CQ2100755 /C15CID840309UG7_I_30_Aug_2021_08_29_29_240.pdf</v>
      </c>
      <c r="AN791" t="str">
        <f>HYPERLINK("https://transparencia.cidesi.mx/comprobantes/2021/CQ2100755 /C15CID840309UG7_I_30_Aug_2021_08_29_29_240.pdf")</f>
        <v>https://transparencia.cidesi.mx/comprobantes/2021/CQ2100755 /C15CID840309UG7_I_30_Aug_2021_08_29_29_240.pdf</v>
      </c>
      <c r="AO791" t="str">
        <f>HYPERLINK("https://transparencia.cidesi.mx/comprobantes/2021/CQ2100755 /C15CID840309UG7_I_30_Aug_2021_08_29_29_240.xml")</f>
        <v>https://transparencia.cidesi.mx/comprobantes/2021/CQ2100755 /C15CID840309UG7_I_30_Aug_2021_08_29_29_240.xml</v>
      </c>
      <c r="AP791" t="s">
        <v>1494</v>
      </c>
      <c r="AQ791" t="s">
        <v>1495</v>
      </c>
      <c r="AR791" t="s">
        <v>1496</v>
      </c>
      <c r="AS791" t="s">
        <v>1497</v>
      </c>
      <c r="AT791" s="1">
        <v>44448</v>
      </c>
      <c r="AU791" s="1">
        <v>44473</v>
      </c>
    </row>
    <row r="792" spans="1:47" x14ac:dyDescent="0.3">
      <c r="A792" t="s">
        <v>246</v>
      </c>
      <c r="B792" t="s">
        <v>182</v>
      </c>
      <c r="C792" t="s">
        <v>183</v>
      </c>
      <c r="D792">
        <v>755</v>
      </c>
      <c r="E792" t="s">
        <v>1479</v>
      </c>
      <c r="F792" t="s">
        <v>1480</v>
      </c>
      <c r="G792" t="s">
        <v>1481</v>
      </c>
      <c r="H792" t="s">
        <v>1491</v>
      </c>
      <c r="I792" t="s">
        <v>54</v>
      </c>
      <c r="J792" t="s">
        <v>1492</v>
      </c>
      <c r="K792" t="s">
        <v>56</v>
      </c>
      <c r="L792">
        <v>0</v>
      </c>
      <c r="M792" t="s">
        <v>73</v>
      </c>
      <c r="N792">
        <v>0</v>
      </c>
      <c r="O792" t="s">
        <v>58</v>
      </c>
      <c r="P792" t="s">
        <v>59</v>
      </c>
      <c r="Q792" t="s">
        <v>986</v>
      </c>
      <c r="R792" t="s">
        <v>1492</v>
      </c>
      <c r="S792" s="1">
        <v>44437</v>
      </c>
      <c r="T792" s="1">
        <v>44443</v>
      </c>
      <c r="U792">
        <v>37501</v>
      </c>
      <c r="V792" t="s">
        <v>104</v>
      </c>
      <c r="W792" t="s">
        <v>1493</v>
      </c>
      <c r="X792" s="1">
        <v>44447</v>
      </c>
      <c r="Y792" t="s">
        <v>63</v>
      </c>
      <c r="Z792">
        <v>561.87</v>
      </c>
      <c r="AA792">
        <v>16</v>
      </c>
      <c r="AB792">
        <v>88.14</v>
      </c>
      <c r="AC792">
        <v>0</v>
      </c>
      <c r="AD792">
        <v>650.01</v>
      </c>
      <c r="AE792">
        <v>7636.42</v>
      </c>
      <c r="AF792">
        <v>7091</v>
      </c>
      <c r="AG792" t="s">
        <v>1485</v>
      </c>
      <c r="AH792" t="s">
        <v>65</v>
      </c>
      <c r="AI792" t="s">
        <v>65</v>
      </c>
      <c r="AJ792" t="s">
        <v>66</v>
      </c>
      <c r="AK792" t="s">
        <v>66</v>
      </c>
      <c r="AL792" t="s">
        <v>66</v>
      </c>
      <c r="AM792" s="2" t="str">
        <f>HYPERLINK("https://transparencia.cidesi.mx/comprobantes/2021/CQ2100755 /C16NABL601123AU4FF1644.pdf")</f>
        <v>https://transparencia.cidesi.mx/comprobantes/2021/CQ2100755 /C16NABL601123AU4FF1644.pdf</v>
      </c>
      <c r="AN792" t="str">
        <f>HYPERLINK("https://transparencia.cidesi.mx/comprobantes/2021/CQ2100755 /C16NABL601123AU4FF1644.pdf")</f>
        <v>https://transparencia.cidesi.mx/comprobantes/2021/CQ2100755 /C16NABL601123AU4FF1644.pdf</v>
      </c>
      <c r="AO792" t="str">
        <f>HYPERLINK("https://transparencia.cidesi.mx/comprobantes/2021/CQ2100755 /C16NABL601123AU4FF1644.xml")</f>
        <v>https://transparencia.cidesi.mx/comprobantes/2021/CQ2100755 /C16NABL601123AU4FF1644.xml</v>
      </c>
      <c r="AP792" t="s">
        <v>1494</v>
      </c>
      <c r="AQ792" t="s">
        <v>1495</v>
      </c>
      <c r="AR792" t="s">
        <v>1496</v>
      </c>
      <c r="AS792" t="s">
        <v>1497</v>
      </c>
      <c r="AT792" s="1">
        <v>44448</v>
      </c>
      <c r="AU792" s="1">
        <v>44473</v>
      </c>
    </row>
    <row r="793" spans="1:47" x14ac:dyDescent="0.3">
      <c r="A793" t="s">
        <v>246</v>
      </c>
      <c r="B793" t="s">
        <v>182</v>
      </c>
      <c r="C793" t="s">
        <v>183</v>
      </c>
      <c r="D793">
        <v>755</v>
      </c>
      <c r="E793" t="s">
        <v>1479</v>
      </c>
      <c r="F793" t="s">
        <v>1480</v>
      </c>
      <c r="G793" t="s">
        <v>1481</v>
      </c>
      <c r="H793" t="s">
        <v>1491</v>
      </c>
      <c r="I793" t="s">
        <v>54</v>
      </c>
      <c r="J793" t="s">
        <v>1492</v>
      </c>
      <c r="K793" t="s">
        <v>56</v>
      </c>
      <c r="L793">
        <v>0</v>
      </c>
      <c r="M793" t="s">
        <v>73</v>
      </c>
      <c r="N793">
        <v>0</v>
      </c>
      <c r="O793" t="s">
        <v>58</v>
      </c>
      <c r="P793" t="s">
        <v>59</v>
      </c>
      <c r="Q793" t="s">
        <v>986</v>
      </c>
      <c r="R793" t="s">
        <v>1492</v>
      </c>
      <c r="S793" s="1">
        <v>44437</v>
      </c>
      <c r="T793" s="1">
        <v>44443</v>
      </c>
      <c r="U793">
        <v>37501</v>
      </c>
      <c r="V793" t="s">
        <v>104</v>
      </c>
      <c r="W793" t="s">
        <v>1493</v>
      </c>
      <c r="X793" s="1">
        <v>44447</v>
      </c>
      <c r="Y793" t="s">
        <v>63</v>
      </c>
      <c r="Z793">
        <v>702.78</v>
      </c>
      <c r="AA793">
        <v>16</v>
      </c>
      <c r="AB793">
        <v>110.24</v>
      </c>
      <c r="AC793">
        <v>0</v>
      </c>
      <c r="AD793">
        <v>813.02</v>
      </c>
      <c r="AE793">
        <v>7636.42</v>
      </c>
      <c r="AF793">
        <v>7091</v>
      </c>
      <c r="AG793" t="s">
        <v>1485</v>
      </c>
      <c r="AH793" t="s">
        <v>65</v>
      </c>
      <c r="AI793" t="s">
        <v>65</v>
      </c>
      <c r="AJ793" t="s">
        <v>66</v>
      </c>
      <c r="AK793" t="s">
        <v>66</v>
      </c>
      <c r="AL793" t="s">
        <v>66</v>
      </c>
      <c r="AM793" s="2" t="str">
        <f>HYPERLINK("https://transparencia.cidesi.mx/comprobantes/2021/CQ2100755 /C1712365191.pdf")</f>
        <v>https://transparencia.cidesi.mx/comprobantes/2021/CQ2100755 /C1712365191.pdf</v>
      </c>
      <c r="AN793" t="str">
        <f>HYPERLINK("https://transparencia.cidesi.mx/comprobantes/2021/CQ2100755 /C1712365191.pdf")</f>
        <v>https://transparencia.cidesi.mx/comprobantes/2021/CQ2100755 /C1712365191.pdf</v>
      </c>
      <c r="AO793" t="str">
        <f>HYPERLINK("https://transparencia.cidesi.mx/comprobantes/2021/CQ2100755 /C1712365191_timbrado.xml")</f>
        <v>https://transparencia.cidesi.mx/comprobantes/2021/CQ2100755 /C1712365191_timbrado.xml</v>
      </c>
      <c r="AP793" t="s">
        <v>1494</v>
      </c>
      <c r="AQ793" t="s">
        <v>1495</v>
      </c>
      <c r="AR793" t="s">
        <v>1496</v>
      </c>
      <c r="AS793" t="s">
        <v>1497</v>
      </c>
      <c r="AT793" s="1">
        <v>44448</v>
      </c>
      <c r="AU793" s="1">
        <v>44473</v>
      </c>
    </row>
    <row r="794" spans="1:47" x14ac:dyDescent="0.3">
      <c r="A794" t="s">
        <v>246</v>
      </c>
      <c r="B794" t="s">
        <v>182</v>
      </c>
      <c r="C794" t="s">
        <v>183</v>
      </c>
      <c r="D794">
        <v>755</v>
      </c>
      <c r="E794" t="s">
        <v>1479</v>
      </c>
      <c r="F794" t="s">
        <v>1480</v>
      </c>
      <c r="G794" t="s">
        <v>1481</v>
      </c>
      <c r="H794" t="s">
        <v>1491</v>
      </c>
      <c r="I794" t="s">
        <v>54</v>
      </c>
      <c r="J794" t="s">
        <v>1492</v>
      </c>
      <c r="K794" t="s">
        <v>56</v>
      </c>
      <c r="L794">
        <v>0</v>
      </c>
      <c r="M794" t="s">
        <v>73</v>
      </c>
      <c r="N794">
        <v>0</v>
      </c>
      <c r="O794" t="s">
        <v>58</v>
      </c>
      <c r="P794" t="s">
        <v>59</v>
      </c>
      <c r="Q794" t="s">
        <v>986</v>
      </c>
      <c r="R794" t="s">
        <v>1492</v>
      </c>
      <c r="S794" s="1">
        <v>44437</v>
      </c>
      <c r="T794" s="1">
        <v>44443</v>
      </c>
      <c r="U794">
        <v>37501</v>
      </c>
      <c r="V794" t="s">
        <v>104</v>
      </c>
      <c r="W794" t="s">
        <v>1493</v>
      </c>
      <c r="X794" s="1">
        <v>44447</v>
      </c>
      <c r="Y794" t="s">
        <v>63</v>
      </c>
      <c r="Z794">
        <v>512.92999999999995</v>
      </c>
      <c r="AA794">
        <v>16</v>
      </c>
      <c r="AB794">
        <v>82.07</v>
      </c>
      <c r="AC794">
        <v>0</v>
      </c>
      <c r="AD794">
        <v>595</v>
      </c>
      <c r="AE794">
        <v>7636.42</v>
      </c>
      <c r="AF794">
        <v>7091</v>
      </c>
      <c r="AG794" t="s">
        <v>1485</v>
      </c>
      <c r="AH794" t="s">
        <v>65</v>
      </c>
      <c r="AI794" t="s">
        <v>65</v>
      </c>
      <c r="AJ794" t="s">
        <v>66</v>
      </c>
      <c r="AK794" t="s">
        <v>66</v>
      </c>
      <c r="AL794" t="s">
        <v>66</v>
      </c>
      <c r="AM794" s="2" t="str">
        <f>HYPERLINK("https://transparencia.cidesi.mx/comprobantes/2021/CQ2100755 /C18#5437A.CENTRO DE INGENIERIA Y DESARROLLO INDUSTRIALc0a60af9-d3f5-4a6e-928b-3ae46150f847.pdf")</f>
        <v>https://transparencia.cidesi.mx/comprobantes/2021/CQ2100755 /C18#5437A.CENTRO DE INGENIERIA Y DESARROLLO INDUSTRIALc0a60af9-d3f5-4a6e-928b-3ae46150f847.pdf</v>
      </c>
      <c r="AN794" t="str">
        <f>HYPERLINK("https://transparencia.cidesi.mx/comprobantes/2021/CQ2100755 /C18#5437A.CENTRO DE INGENIERIA Y DESARROLLO INDUSTRIALc0a60af9-d3f5-4a6e-928b-3ae46150f847.pdf")</f>
        <v>https://transparencia.cidesi.mx/comprobantes/2021/CQ2100755 /C18#5437A.CENTRO DE INGENIERIA Y DESARROLLO INDUSTRIALc0a60af9-d3f5-4a6e-928b-3ae46150f847.pdf</v>
      </c>
      <c r="AO794" t="str">
        <f>HYPERLINK("https://transparencia.cidesi.mx/comprobantes/2021/CQ2100755 /C18#5437A.CENTRO DE INGENIERIA Y DESARROLLO INDUSTRIALc0a60af9-d3f5-4a6e-928b-3ae46150f847 (1).xml")</f>
        <v>https://transparencia.cidesi.mx/comprobantes/2021/CQ2100755 /C18#5437A.CENTRO DE INGENIERIA Y DESARROLLO INDUSTRIALc0a60af9-d3f5-4a6e-928b-3ae46150f847 (1).xml</v>
      </c>
      <c r="AP794" t="s">
        <v>1494</v>
      </c>
      <c r="AQ794" t="s">
        <v>1495</v>
      </c>
      <c r="AR794" t="s">
        <v>1496</v>
      </c>
      <c r="AS794" t="s">
        <v>1497</v>
      </c>
      <c r="AT794" s="1">
        <v>44448</v>
      </c>
      <c r="AU794" s="1">
        <v>44473</v>
      </c>
    </row>
    <row r="795" spans="1:47" x14ac:dyDescent="0.3">
      <c r="A795" t="s">
        <v>838</v>
      </c>
      <c r="B795" t="s">
        <v>48</v>
      </c>
      <c r="C795" t="s">
        <v>849</v>
      </c>
      <c r="D795">
        <v>918</v>
      </c>
      <c r="E795" t="s">
        <v>1498</v>
      </c>
      <c r="F795" t="s">
        <v>1499</v>
      </c>
      <c r="G795" t="s">
        <v>404</v>
      </c>
      <c r="H795" t="s">
        <v>1500</v>
      </c>
      <c r="I795" t="s">
        <v>54</v>
      </c>
      <c r="J795" t="s">
        <v>1501</v>
      </c>
      <c r="K795" t="s">
        <v>56</v>
      </c>
      <c r="L795">
        <v>0</v>
      </c>
      <c r="M795" t="s">
        <v>73</v>
      </c>
      <c r="N795">
        <v>0</v>
      </c>
      <c r="O795" t="s">
        <v>58</v>
      </c>
      <c r="P795" t="s">
        <v>59</v>
      </c>
      <c r="Q795" t="s">
        <v>87</v>
      </c>
      <c r="R795" t="s">
        <v>1501</v>
      </c>
      <c r="S795" s="1">
        <v>44378</v>
      </c>
      <c r="T795" s="1">
        <v>44378</v>
      </c>
      <c r="U795">
        <v>37501</v>
      </c>
      <c r="V795" t="s">
        <v>61</v>
      </c>
      <c r="W795" t="s">
        <v>1502</v>
      </c>
      <c r="X795" s="1">
        <v>44400</v>
      </c>
      <c r="Y795" t="s">
        <v>63</v>
      </c>
      <c r="Z795">
        <v>331.03</v>
      </c>
      <c r="AA795">
        <v>16</v>
      </c>
      <c r="AB795">
        <v>52.97</v>
      </c>
      <c r="AC795">
        <v>38.4</v>
      </c>
      <c r="AD795">
        <v>422.4</v>
      </c>
      <c r="AE795">
        <v>540.9</v>
      </c>
      <c r="AF795">
        <v>545</v>
      </c>
      <c r="AG795" t="s">
        <v>1503</v>
      </c>
      <c r="AH795" t="s">
        <v>65</v>
      </c>
      <c r="AI795" t="s">
        <v>65</v>
      </c>
      <c r="AJ795" t="s">
        <v>66</v>
      </c>
      <c r="AK795" t="s">
        <v>66</v>
      </c>
      <c r="AL795" t="s">
        <v>66</v>
      </c>
      <c r="AM795" s="2" t="str">
        <f>HYPERLINK("https://transparencia.cidesi.mx/comprobantes/2021/CQ2100545 /C168903057.pdf")</f>
        <v>https://transparencia.cidesi.mx/comprobantes/2021/CQ2100545 /C168903057.pdf</v>
      </c>
      <c r="AN795" t="str">
        <f>HYPERLINK("https://transparencia.cidesi.mx/comprobantes/2021/CQ2100545 /C168903057.pdf")</f>
        <v>https://transparencia.cidesi.mx/comprobantes/2021/CQ2100545 /C168903057.pdf</v>
      </c>
      <c r="AO795" t="str">
        <f>HYPERLINK("https://transparencia.cidesi.mx/comprobantes/2021/CQ2100545 /C168903057.xml")</f>
        <v>https://transparencia.cidesi.mx/comprobantes/2021/CQ2100545 /C168903057.xml</v>
      </c>
      <c r="AP795" t="s">
        <v>1504</v>
      </c>
      <c r="AQ795" t="s">
        <v>1505</v>
      </c>
      <c r="AR795" t="s">
        <v>1505</v>
      </c>
      <c r="AS795" t="s">
        <v>1505</v>
      </c>
      <c r="AT795" s="1">
        <v>44400</v>
      </c>
      <c r="AU795" s="1">
        <v>44403</v>
      </c>
    </row>
    <row r="796" spans="1:47" x14ac:dyDescent="0.3">
      <c r="A796" t="s">
        <v>838</v>
      </c>
      <c r="B796" t="s">
        <v>48</v>
      </c>
      <c r="C796" t="s">
        <v>849</v>
      </c>
      <c r="D796">
        <v>918</v>
      </c>
      <c r="E796" t="s">
        <v>1498</v>
      </c>
      <c r="F796" t="s">
        <v>1499</v>
      </c>
      <c r="G796" t="s">
        <v>404</v>
      </c>
      <c r="H796" t="s">
        <v>1500</v>
      </c>
      <c r="I796" t="s">
        <v>54</v>
      </c>
      <c r="J796" t="s">
        <v>1501</v>
      </c>
      <c r="K796" t="s">
        <v>56</v>
      </c>
      <c r="L796">
        <v>0</v>
      </c>
      <c r="M796" t="s">
        <v>73</v>
      </c>
      <c r="N796">
        <v>0</v>
      </c>
      <c r="O796" t="s">
        <v>58</v>
      </c>
      <c r="P796" t="s">
        <v>59</v>
      </c>
      <c r="Q796" t="s">
        <v>87</v>
      </c>
      <c r="R796" t="s">
        <v>1501</v>
      </c>
      <c r="S796" s="1">
        <v>44378</v>
      </c>
      <c r="T796" s="1">
        <v>44378</v>
      </c>
      <c r="U796">
        <v>37501</v>
      </c>
      <c r="V796" t="s">
        <v>61</v>
      </c>
      <c r="W796" t="s">
        <v>1502</v>
      </c>
      <c r="X796" s="1">
        <v>44400</v>
      </c>
      <c r="Y796" t="s">
        <v>63</v>
      </c>
      <c r="Z796">
        <v>118.5</v>
      </c>
      <c r="AA796">
        <v>0</v>
      </c>
      <c r="AB796">
        <v>0</v>
      </c>
      <c r="AC796">
        <v>0</v>
      </c>
      <c r="AD796">
        <v>118.5</v>
      </c>
      <c r="AE796">
        <v>540.9</v>
      </c>
      <c r="AF796">
        <v>545</v>
      </c>
      <c r="AG796" t="s">
        <v>1503</v>
      </c>
      <c r="AH796" t="s">
        <v>65</v>
      </c>
      <c r="AI796" t="s">
        <v>65</v>
      </c>
      <c r="AJ796" t="s">
        <v>66</v>
      </c>
      <c r="AK796" t="s">
        <v>66</v>
      </c>
      <c r="AL796" t="s">
        <v>66</v>
      </c>
      <c r="AM796" s="2" t="str">
        <f>HYPERLINK("https://transparencia.cidesi.mx/comprobantes/2021/CQ2100545 /C2FACTURA_1625503205081_336236409.pdf")</f>
        <v>https://transparencia.cidesi.mx/comprobantes/2021/CQ2100545 /C2FACTURA_1625503205081_336236409.pdf</v>
      </c>
      <c r="AN796" t="str">
        <f>HYPERLINK("https://transparencia.cidesi.mx/comprobantes/2021/CQ2100545 /C2FACTURA_1625503205081_336236409.pdf")</f>
        <v>https://transparencia.cidesi.mx/comprobantes/2021/CQ2100545 /C2FACTURA_1625503205081_336236409.pdf</v>
      </c>
      <c r="AO796" t="str">
        <f>HYPERLINK("https://transparencia.cidesi.mx/comprobantes/2021/CQ2100545 /C2FACTURA_1625503205081_336236409.xml")</f>
        <v>https://transparencia.cidesi.mx/comprobantes/2021/CQ2100545 /C2FACTURA_1625503205081_336236409.xml</v>
      </c>
      <c r="AP796" t="s">
        <v>1504</v>
      </c>
      <c r="AQ796" t="s">
        <v>1505</v>
      </c>
      <c r="AR796" t="s">
        <v>1505</v>
      </c>
      <c r="AS796" t="s">
        <v>1505</v>
      </c>
      <c r="AT796" s="1">
        <v>44400</v>
      </c>
      <c r="AU796" s="1">
        <v>44403</v>
      </c>
    </row>
    <row r="797" spans="1:47" x14ac:dyDescent="0.3">
      <c r="A797" t="s">
        <v>838</v>
      </c>
      <c r="B797" t="s">
        <v>48</v>
      </c>
      <c r="C797" t="s">
        <v>849</v>
      </c>
      <c r="D797">
        <v>918</v>
      </c>
      <c r="E797" t="s">
        <v>1498</v>
      </c>
      <c r="F797" t="s">
        <v>1499</v>
      </c>
      <c r="G797" t="s">
        <v>404</v>
      </c>
      <c r="H797" t="s">
        <v>1506</v>
      </c>
      <c r="I797" t="s">
        <v>54</v>
      </c>
      <c r="J797" t="s">
        <v>1507</v>
      </c>
      <c r="K797" t="s">
        <v>56</v>
      </c>
      <c r="L797">
        <v>604</v>
      </c>
      <c r="M797" t="s">
        <v>1508</v>
      </c>
      <c r="N797">
        <v>0</v>
      </c>
      <c r="O797" t="s">
        <v>58</v>
      </c>
      <c r="P797" t="s">
        <v>59</v>
      </c>
      <c r="Q797" t="s">
        <v>297</v>
      </c>
      <c r="R797" t="s">
        <v>1507</v>
      </c>
      <c r="S797" s="1">
        <v>44391</v>
      </c>
      <c r="T797" s="1">
        <v>44394</v>
      </c>
      <c r="U797">
        <v>37501</v>
      </c>
      <c r="V797" t="s">
        <v>61</v>
      </c>
      <c r="W797" t="s">
        <v>1509</v>
      </c>
      <c r="X797" s="1">
        <v>44398</v>
      </c>
      <c r="Y797" t="s">
        <v>63</v>
      </c>
      <c r="Z797">
        <v>79.31</v>
      </c>
      <c r="AA797">
        <v>16</v>
      </c>
      <c r="AB797">
        <v>12.69</v>
      </c>
      <c r="AC797">
        <v>0</v>
      </c>
      <c r="AD797">
        <v>92</v>
      </c>
      <c r="AE797">
        <v>5407.13</v>
      </c>
      <c r="AF797">
        <v>5484</v>
      </c>
      <c r="AG797" t="s">
        <v>1503</v>
      </c>
      <c r="AH797" t="s">
        <v>65</v>
      </c>
      <c r="AI797" t="s">
        <v>65</v>
      </c>
      <c r="AJ797" t="s">
        <v>66</v>
      </c>
      <c r="AK797" t="s">
        <v>66</v>
      </c>
      <c r="AL797" t="s">
        <v>66</v>
      </c>
      <c r="AM797" s="2" t="str">
        <f>HYPERLINK("https://transparencia.cidesi.mx/comprobantes/2021/CQ2100540 /C224F13E6C-EA4E-4FD0-B3B5-45BFEF42E001.pdf")</f>
        <v>https://transparencia.cidesi.mx/comprobantes/2021/CQ2100540 /C224F13E6C-EA4E-4FD0-B3B5-45BFEF42E001.pdf</v>
      </c>
      <c r="AN797" t="str">
        <f>HYPERLINK("https://transparencia.cidesi.mx/comprobantes/2021/CQ2100540 /C224F13E6C-EA4E-4FD0-B3B5-45BFEF42E001.pdf")</f>
        <v>https://transparencia.cidesi.mx/comprobantes/2021/CQ2100540 /C224F13E6C-EA4E-4FD0-B3B5-45BFEF42E001.pdf</v>
      </c>
      <c r="AO797" t="str">
        <f>HYPERLINK("https://transparencia.cidesi.mx/comprobantes/2021/CQ2100540 /C224F13E6C-EA4E-4FD0-B3B5-45BFEF42E001.xml")</f>
        <v>https://transparencia.cidesi.mx/comprobantes/2021/CQ2100540 /C224F13E6C-EA4E-4FD0-B3B5-45BFEF42E001.xml</v>
      </c>
      <c r="AP797" t="s">
        <v>1510</v>
      </c>
      <c r="AQ797" t="s">
        <v>1511</v>
      </c>
      <c r="AR797" t="s">
        <v>1512</v>
      </c>
      <c r="AS797" t="s">
        <v>1512</v>
      </c>
      <c r="AT797" s="1">
        <v>44400</v>
      </c>
      <c r="AU797" s="1">
        <v>44411</v>
      </c>
    </row>
    <row r="798" spans="1:47" x14ac:dyDescent="0.3">
      <c r="A798" t="s">
        <v>838</v>
      </c>
      <c r="B798" t="s">
        <v>48</v>
      </c>
      <c r="C798" t="s">
        <v>849</v>
      </c>
      <c r="D798">
        <v>918</v>
      </c>
      <c r="E798" t="s">
        <v>1498</v>
      </c>
      <c r="F798" t="s">
        <v>1499</v>
      </c>
      <c r="G798" t="s">
        <v>404</v>
      </c>
      <c r="H798" t="s">
        <v>1506</v>
      </c>
      <c r="I798" t="s">
        <v>54</v>
      </c>
      <c r="J798" t="s">
        <v>1507</v>
      </c>
      <c r="K798" t="s">
        <v>56</v>
      </c>
      <c r="L798">
        <v>604</v>
      </c>
      <c r="M798" t="s">
        <v>1508</v>
      </c>
      <c r="N798">
        <v>0</v>
      </c>
      <c r="O798" t="s">
        <v>58</v>
      </c>
      <c r="P798" t="s">
        <v>59</v>
      </c>
      <c r="Q798" t="s">
        <v>297</v>
      </c>
      <c r="R798" t="s">
        <v>1507</v>
      </c>
      <c r="S798" s="1">
        <v>44391</v>
      </c>
      <c r="T798" s="1">
        <v>44394</v>
      </c>
      <c r="U798">
        <v>37501</v>
      </c>
      <c r="V798" t="s">
        <v>61</v>
      </c>
      <c r="W798" t="s">
        <v>1509</v>
      </c>
      <c r="X798" s="1">
        <v>44398</v>
      </c>
      <c r="Y798" t="s">
        <v>63</v>
      </c>
      <c r="Z798">
        <v>181.62</v>
      </c>
      <c r="AA798">
        <v>16</v>
      </c>
      <c r="AB798">
        <v>21.37</v>
      </c>
      <c r="AC798">
        <v>0</v>
      </c>
      <c r="AD798">
        <v>202.99</v>
      </c>
      <c r="AE798">
        <v>5407.13</v>
      </c>
      <c r="AF798">
        <v>5484</v>
      </c>
      <c r="AG798" t="s">
        <v>1503</v>
      </c>
      <c r="AH798" t="s">
        <v>65</v>
      </c>
      <c r="AI798" t="s">
        <v>65</v>
      </c>
      <c r="AJ798" t="s">
        <v>66</v>
      </c>
      <c r="AK798" t="s">
        <v>66</v>
      </c>
      <c r="AL798" t="s">
        <v>66</v>
      </c>
      <c r="AM798" s="2" t="str">
        <f>HYPERLINK("https://transparencia.cidesi.mx/comprobantes/2021/CQ2100540 /C3BFG_365.pdf")</f>
        <v>https://transparencia.cidesi.mx/comprobantes/2021/CQ2100540 /C3BFG_365.pdf</v>
      </c>
      <c r="AN798" t="str">
        <f>HYPERLINK("https://transparencia.cidesi.mx/comprobantes/2021/CQ2100540 /C3BFG_365.pdf")</f>
        <v>https://transparencia.cidesi.mx/comprobantes/2021/CQ2100540 /C3BFG_365.pdf</v>
      </c>
      <c r="AO798" t="str">
        <f>HYPERLINK("https://transparencia.cidesi.mx/comprobantes/2021/CQ2100540 /C3BFG_365.xml")</f>
        <v>https://transparencia.cidesi.mx/comprobantes/2021/CQ2100540 /C3BFG_365.xml</v>
      </c>
      <c r="AP798" t="s">
        <v>1510</v>
      </c>
      <c r="AQ798" t="s">
        <v>1511</v>
      </c>
      <c r="AR798" t="s">
        <v>1512</v>
      </c>
      <c r="AS798" t="s">
        <v>1512</v>
      </c>
      <c r="AT798" s="1">
        <v>44400</v>
      </c>
      <c r="AU798" s="1">
        <v>44411</v>
      </c>
    </row>
    <row r="799" spans="1:47" x14ac:dyDescent="0.3">
      <c r="A799" t="s">
        <v>838</v>
      </c>
      <c r="B799" t="s">
        <v>48</v>
      </c>
      <c r="C799" t="s">
        <v>849</v>
      </c>
      <c r="D799">
        <v>918</v>
      </c>
      <c r="E799" t="s">
        <v>1498</v>
      </c>
      <c r="F799" t="s">
        <v>1499</v>
      </c>
      <c r="G799" t="s">
        <v>404</v>
      </c>
      <c r="H799" t="s">
        <v>1506</v>
      </c>
      <c r="I799" t="s">
        <v>54</v>
      </c>
      <c r="J799" t="s">
        <v>1507</v>
      </c>
      <c r="K799" t="s">
        <v>56</v>
      </c>
      <c r="L799">
        <v>604</v>
      </c>
      <c r="M799" t="s">
        <v>1508</v>
      </c>
      <c r="N799">
        <v>0</v>
      </c>
      <c r="O799" t="s">
        <v>58</v>
      </c>
      <c r="P799" t="s">
        <v>59</v>
      </c>
      <c r="Q799" t="s">
        <v>297</v>
      </c>
      <c r="R799" t="s">
        <v>1507</v>
      </c>
      <c r="S799" s="1">
        <v>44391</v>
      </c>
      <c r="T799" s="1">
        <v>44394</v>
      </c>
      <c r="U799">
        <v>37501</v>
      </c>
      <c r="V799" t="s">
        <v>104</v>
      </c>
      <c r="W799" t="s">
        <v>1509</v>
      </c>
      <c r="X799" s="1">
        <v>44398</v>
      </c>
      <c r="Y799" t="s">
        <v>63</v>
      </c>
      <c r="Z799">
        <v>2935.19</v>
      </c>
      <c r="AA799">
        <v>16</v>
      </c>
      <c r="AB799">
        <v>455.95</v>
      </c>
      <c r="AC799">
        <v>0</v>
      </c>
      <c r="AD799">
        <v>3391.14</v>
      </c>
      <c r="AE799">
        <v>5407.13</v>
      </c>
      <c r="AF799">
        <v>5484</v>
      </c>
      <c r="AG799" t="s">
        <v>1513</v>
      </c>
      <c r="AH799" t="s">
        <v>65</v>
      </c>
      <c r="AI799" t="s">
        <v>65</v>
      </c>
      <c r="AJ799" t="s">
        <v>66</v>
      </c>
      <c r="AK799" t="s">
        <v>66</v>
      </c>
      <c r="AL799" t="s">
        <v>66</v>
      </c>
      <c r="AM799" s="2" t="str">
        <f>HYPERLINK("https://transparencia.cidesi.mx/comprobantes/2021/CQ2100540 /C4CID840309UG7_43648_B_2F9C957D-FF28-4C84-A857-5999D71AE637.pdf")</f>
        <v>https://transparencia.cidesi.mx/comprobantes/2021/CQ2100540 /C4CID840309UG7_43648_B_2F9C957D-FF28-4C84-A857-5999D71AE637.pdf</v>
      </c>
      <c r="AN799" t="str">
        <f>HYPERLINK("https://transparencia.cidesi.mx/comprobantes/2021/CQ2100540 /C4CID840309UG7_43648_B_2F9C957D-FF28-4C84-A857-5999D71AE637.pdf")</f>
        <v>https://transparencia.cidesi.mx/comprobantes/2021/CQ2100540 /C4CID840309UG7_43648_B_2F9C957D-FF28-4C84-A857-5999D71AE637.pdf</v>
      </c>
      <c r="AO799" t="str">
        <f>HYPERLINK("https://transparencia.cidesi.mx/comprobantes/2021/CQ2100540 /C4CID840309UG7_43648_B_2F9C957D-FF28-4C84-A857-5999D71AE637.xml")</f>
        <v>https://transparencia.cidesi.mx/comprobantes/2021/CQ2100540 /C4CID840309UG7_43648_B_2F9C957D-FF28-4C84-A857-5999D71AE637.xml</v>
      </c>
      <c r="AP799" t="s">
        <v>1510</v>
      </c>
      <c r="AQ799" t="s">
        <v>1511</v>
      </c>
      <c r="AR799" t="s">
        <v>1512</v>
      </c>
      <c r="AS799" t="s">
        <v>1512</v>
      </c>
      <c r="AT799" s="1">
        <v>44400</v>
      </c>
      <c r="AU799" s="1">
        <v>44411</v>
      </c>
    </row>
    <row r="800" spans="1:47" x14ac:dyDescent="0.3">
      <c r="A800" t="s">
        <v>838</v>
      </c>
      <c r="B800" t="s">
        <v>48</v>
      </c>
      <c r="C800" t="s">
        <v>849</v>
      </c>
      <c r="D800">
        <v>918</v>
      </c>
      <c r="E800" t="s">
        <v>1498</v>
      </c>
      <c r="F800" t="s">
        <v>1499</v>
      </c>
      <c r="G800" t="s">
        <v>404</v>
      </c>
      <c r="H800" t="s">
        <v>1506</v>
      </c>
      <c r="I800" t="s">
        <v>54</v>
      </c>
      <c r="J800" t="s">
        <v>1507</v>
      </c>
      <c r="K800" t="s">
        <v>56</v>
      </c>
      <c r="L800">
        <v>604</v>
      </c>
      <c r="M800" t="s">
        <v>1508</v>
      </c>
      <c r="N800">
        <v>0</v>
      </c>
      <c r="O800" t="s">
        <v>58</v>
      </c>
      <c r="P800" t="s">
        <v>59</v>
      </c>
      <c r="Q800" t="s">
        <v>297</v>
      </c>
      <c r="R800" t="s">
        <v>1507</v>
      </c>
      <c r="S800" s="1">
        <v>44391</v>
      </c>
      <c r="T800" s="1">
        <v>44394</v>
      </c>
      <c r="U800">
        <v>37501</v>
      </c>
      <c r="V800" t="s">
        <v>61</v>
      </c>
      <c r="W800" t="s">
        <v>1509</v>
      </c>
      <c r="X800" s="1">
        <v>44398</v>
      </c>
      <c r="Y800" t="s">
        <v>63</v>
      </c>
      <c r="Z800">
        <v>795.26</v>
      </c>
      <c r="AA800">
        <v>16</v>
      </c>
      <c r="AB800">
        <v>127.24</v>
      </c>
      <c r="AC800">
        <v>0</v>
      </c>
      <c r="AD800">
        <v>922.5</v>
      </c>
      <c r="AE800">
        <v>5407.13</v>
      </c>
      <c r="AF800">
        <v>5484</v>
      </c>
      <c r="AG800" t="s">
        <v>1503</v>
      </c>
      <c r="AH800" t="s">
        <v>65</v>
      </c>
      <c r="AI800" t="s">
        <v>65</v>
      </c>
      <c r="AJ800" t="s">
        <v>66</v>
      </c>
      <c r="AK800" t="s">
        <v>66</v>
      </c>
      <c r="AL800" t="s">
        <v>66</v>
      </c>
      <c r="AM800" s="2" t="str">
        <f>HYPERLINK("https://transparencia.cidesi.mx/comprobantes/2021/CQ2100540 /C5CID840309UG7-108246-LFAPO.pdf")</f>
        <v>https://transparencia.cidesi.mx/comprobantes/2021/CQ2100540 /C5CID840309UG7-108246-LFAPO.pdf</v>
      </c>
      <c r="AN800" t="str">
        <f>HYPERLINK("https://transparencia.cidesi.mx/comprobantes/2021/CQ2100540 /C5CID840309UG7-108246-LFAPO.pdf")</f>
        <v>https://transparencia.cidesi.mx/comprobantes/2021/CQ2100540 /C5CID840309UG7-108246-LFAPO.pdf</v>
      </c>
      <c r="AO800" t="str">
        <f>HYPERLINK("https://transparencia.cidesi.mx/comprobantes/2021/CQ2100540 /C5CID840309UG7-108246-LFAPO.xml")</f>
        <v>https://transparencia.cidesi.mx/comprobantes/2021/CQ2100540 /C5CID840309UG7-108246-LFAPO.xml</v>
      </c>
      <c r="AP800" t="s">
        <v>1510</v>
      </c>
      <c r="AQ800" t="s">
        <v>1511</v>
      </c>
      <c r="AR800" t="s">
        <v>1512</v>
      </c>
      <c r="AS800" t="s">
        <v>1512</v>
      </c>
      <c r="AT800" s="1">
        <v>44400</v>
      </c>
      <c r="AU800" s="1">
        <v>44411</v>
      </c>
    </row>
    <row r="801" spans="1:47" x14ac:dyDescent="0.3">
      <c r="A801" t="s">
        <v>838</v>
      </c>
      <c r="B801" t="s">
        <v>48</v>
      </c>
      <c r="C801" t="s">
        <v>849</v>
      </c>
      <c r="D801">
        <v>918</v>
      </c>
      <c r="E801" t="s">
        <v>1498</v>
      </c>
      <c r="F801" t="s">
        <v>1499</v>
      </c>
      <c r="G801" t="s">
        <v>404</v>
      </c>
      <c r="H801" t="s">
        <v>1506</v>
      </c>
      <c r="I801" t="s">
        <v>54</v>
      </c>
      <c r="J801" t="s">
        <v>1507</v>
      </c>
      <c r="K801" t="s">
        <v>56</v>
      </c>
      <c r="L801">
        <v>604</v>
      </c>
      <c r="M801" t="s">
        <v>1508</v>
      </c>
      <c r="N801">
        <v>0</v>
      </c>
      <c r="O801" t="s">
        <v>58</v>
      </c>
      <c r="P801" t="s">
        <v>59</v>
      </c>
      <c r="Q801" t="s">
        <v>297</v>
      </c>
      <c r="R801" t="s">
        <v>1507</v>
      </c>
      <c r="S801" s="1">
        <v>44391</v>
      </c>
      <c r="T801" s="1">
        <v>44394</v>
      </c>
      <c r="U801">
        <v>37501</v>
      </c>
      <c r="V801" t="s">
        <v>61</v>
      </c>
      <c r="W801" t="s">
        <v>1509</v>
      </c>
      <c r="X801" s="1">
        <v>44398</v>
      </c>
      <c r="Y801" t="s">
        <v>63</v>
      </c>
      <c r="Z801">
        <v>171.55</v>
      </c>
      <c r="AA801">
        <v>16</v>
      </c>
      <c r="AB801">
        <v>27.45</v>
      </c>
      <c r="AC801">
        <v>0</v>
      </c>
      <c r="AD801">
        <v>199</v>
      </c>
      <c r="AE801">
        <v>5407.13</v>
      </c>
      <c r="AF801">
        <v>5484</v>
      </c>
      <c r="AG801" t="s">
        <v>1503</v>
      </c>
      <c r="AH801" t="s">
        <v>65</v>
      </c>
      <c r="AI801" t="s">
        <v>65</v>
      </c>
      <c r="AJ801" t="s">
        <v>66</v>
      </c>
      <c r="AK801" t="s">
        <v>66</v>
      </c>
      <c r="AL801" t="s">
        <v>66</v>
      </c>
      <c r="AM801" s="2" t="str">
        <f>HYPERLINK("https://transparencia.cidesi.mx/comprobantes/2021/CQ2100540 /C6FacturaFRP-175091.pdf")</f>
        <v>https://transparencia.cidesi.mx/comprobantes/2021/CQ2100540 /C6FacturaFRP-175091.pdf</v>
      </c>
      <c r="AN801" t="str">
        <f>HYPERLINK("https://transparencia.cidesi.mx/comprobantes/2021/CQ2100540 /C6FacturaFRP-175091.pdf")</f>
        <v>https://transparencia.cidesi.mx/comprobantes/2021/CQ2100540 /C6FacturaFRP-175091.pdf</v>
      </c>
      <c r="AO801" t="str">
        <f>HYPERLINK("https://transparencia.cidesi.mx/comprobantes/2021/CQ2100540 /C6FacturaFRP-175091.xml")</f>
        <v>https://transparencia.cidesi.mx/comprobantes/2021/CQ2100540 /C6FacturaFRP-175091.xml</v>
      </c>
      <c r="AP801" t="s">
        <v>1510</v>
      </c>
      <c r="AQ801" t="s">
        <v>1511</v>
      </c>
      <c r="AR801" t="s">
        <v>1512</v>
      </c>
      <c r="AS801" t="s">
        <v>1512</v>
      </c>
      <c r="AT801" s="1">
        <v>44400</v>
      </c>
      <c r="AU801" s="1">
        <v>44411</v>
      </c>
    </row>
    <row r="802" spans="1:47" x14ac:dyDescent="0.3">
      <c r="A802" t="s">
        <v>838</v>
      </c>
      <c r="B802" t="s">
        <v>48</v>
      </c>
      <c r="C802" t="s">
        <v>849</v>
      </c>
      <c r="D802">
        <v>918</v>
      </c>
      <c r="E802" t="s">
        <v>1498</v>
      </c>
      <c r="F802" t="s">
        <v>1499</v>
      </c>
      <c r="G802" t="s">
        <v>404</v>
      </c>
      <c r="H802" t="s">
        <v>1506</v>
      </c>
      <c r="I802" t="s">
        <v>54</v>
      </c>
      <c r="J802" t="s">
        <v>1507</v>
      </c>
      <c r="K802" t="s">
        <v>56</v>
      </c>
      <c r="L802">
        <v>604</v>
      </c>
      <c r="M802" t="s">
        <v>1508</v>
      </c>
      <c r="N802">
        <v>0</v>
      </c>
      <c r="O802" t="s">
        <v>58</v>
      </c>
      <c r="P802" t="s">
        <v>59</v>
      </c>
      <c r="Q802" t="s">
        <v>297</v>
      </c>
      <c r="R802" t="s">
        <v>1507</v>
      </c>
      <c r="S802" s="1">
        <v>44391</v>
      </c>
      <c r="T802" s="1">
        <v>44394</v>
      </c>
      <c r="U802">
        <v>37501</v>
      </c>
      <c r="V802" t="s">
        <v>61</v>
      </c>
      <c r="W802" t="s">
        <v>1509</v>
      </c>
      <c r="X802" s="1">
        <v>44398</v>
      </c>
      <c r="Y802" t="s">
        <v>63</v>
      </c>
      <c r="Z802">
        <v>342.24</v>
      </c>
      <c r="AA802">
        <v>16</v>
      </c>
      <c r="AB802">
        <v>54.76</v>
      </c>
      <c r="AC802">
        <v>0</v>
      </c>
      <c r="AD802">
        <v>397</v>
      </c>
      <c r="AE802">
        <v>5407.13</v>
      </c>
      <c r="AF802">
        <v>5484</v>
      </c>
      <c r="AG802" t="s">
        <v>1503</v>
      </c>
      <c r="AH802" t="s">
        <v>65</v>
      </c>
      <c r="AI802" t="s">
        <v>65</v>
      </c>
      <c r="AJ802" t="s">
        <v>66</v>
      </c>
      <c r="AK802" t="s">
        <v>66</v>
      </c>
      <c r="AL802" t="s">
        <v>66</v>
      </c>
      <c r="AM802" s="2" t="str">
        <f>HYPERLINK("https://transparencia.cidesi.mx/comprobantes/2021/CQ2100540 /C7JFO901024SX4_CID840309UG7_GM95174_6E3978E3-2D19-4695-A88C-01A31E9ED8C7.pdf")</f>
        <v>https://transparencia.cidesi.mx/comprobantes/2021/CQ2100540 /C7JFO901024SX4_CID840309UG7_GM95174_6E3978E3-2D19-4695-A88C-01A31E9ED8C7.pdf</v>
      </c>
      <c r="AN802" t="str">
        <f>HYPERLINK("https://transparencia.cidesi.mx/comprobantes/2021/CQ2100540 /C7JFO901024SX4_CID840309UG7_GM95174_6E3978E3-2D19-4695-A88C-01A31E9ED8C7.pdf")</f>
        <v>https://transparencia.cidesi.mx/comprobantes/2021/CQ2100540 /C7JFO901024SX4_CID840309UG7_GM95174_6E3978E3-2D19-4695-A88C-01A31E9ED8C7.pdf</v>
      </c>
      <c r="AO802" t="str">
        <f>HYPERLINK("https://transparencia.cidesi.mx/comprobantes/2021/CQ2100540 /C7JFO901024SX4_CID840309UG7_GM95174_6E3978E3-2D19-4695-A88C-01A31E9ED8C7.xml")</f>
        <v>https://transparencia.cidesi.mx/comprobantes/2021/CQ2100540 /C7JFO901024SX4_CID840309UG7_GM95174_6E3978E3-2D19-4695-A88C-01A31E9ED8C7.xml</v>
      </c>
      <c r="AP802" t="s">
        <v>1510</v>
      </c>
      <c r="AQ802" t="s">
        <v>1511</v>
      </c>
      <c r="AR802" t="s">
        <v>1512</v>
      </c>
      <c r="AS802" t="s">
        <v>1512</v>
      </c>
      <c r="AT802" s="1">
        <v>44400</v>
      </c>
      <c r="AU802" s="1">
        <v>44411</v>
      </c>
    </row>
    <row r="803" spans="1:47" x14ac:dyDescent="0.3">
      <c r="A803" t="s">
        <v>838</v>
      </c>
      <c r="B803" t="s">
        <v>48</v>
      </c>
      <c r="C803" t="s">
        <v>849</v>
      </c>
      <c r="D803">
        <v>918</v>
      </c>
      <c r="E803" t="s">
        <v>1498</v>
      </c>
      <c r="F803" t="s">
        <v>1499</v>
      </c>
      <c r="G803" t="s">
        <v>404</v>
      </c>
      <c r="H803" t="s">
        <v>1506</v>
      </c>
      <c r="I803" t="s">
        <v>54</v>
      </c>
      <c r="J803" t="s">
        <v>1507</v>
      </c>
      <c r="K803" t="s">
        <v>56</v>
      </c>
      <c r="L803">
        <v>604</v>
      </c>
      <c r="M803" t="s">
        <v>1508</v>
      </c>
      <c r="N803">
        <v>0</v>
      </c>
      <c r="O803" t="s">
        <v>58</v>
      </c>
      <c r="P803" t="s">
        <v>59</v>
      </c>
      <c r="Q803" t="s">
        <v>297</v>
      </c>
      <c r="R803" t="s">
        <v>1507</v>
      </c>
      <c r="S803" s="1">
        <v>44391</v>
      </c>
      <c r="T803" s="1">
        <v>44394</v>
      </c>
      <c r="U803">
        <v>37501</v>
      </c>
      <c r="V803" t="s">
        <v>61</v>
      </c>
      <c r="W803" t="s">
        <v>1509</v>
      </c>
      <c r="X803" s="1">
        <v>44398</v>
      </c>
      <c r="Y803" t="s">
        <v>63</v>
      </c>
      <c r="Z803">
        <v>158.34</v>
      </c>
      <c r="AA803">
        <v>16</v>
      </c>
      <c r="AB803">
        <v>13.66</v>
      </c>
      <c r="AC803">
        <v>0</v>
      </c>
      <c r="AD803">
        <v>172</v>
      </c>
      <c r="AE803">
        <v>5407.13</v>
      </c>
      <c r="AF803">
        <v>5484</v>
      </c>
      <c r="AG803" t="s">
        <v>1503</v>
      </c>
      <c r="AH803" t="s">
        <v>65</v>
      </c>
      <c r="AI803" t="s">
        <v>65</v>
      </c>
      <c r="AJ803" t="s">
        <v>66</v>
      </c>
      <c r="AK803" t="s">
        <v>66</v>
      </c>
      <c r="AL803" t="s">
        <v>66</v>
      </c>
      <c r="AM803" s="2" t="str">
        <f>HYPERLINK("https://transparencia.cidesi.mx/comprobantes/2021/CQ2100540 /C8F68478_ACD8B0E5-94FE-4E07-A7AD-F75FD8C06B87.pdf")</f>
        <v>https://transparencia.cidesi.mx/comprobantes/2021/CQ2100540 /C8F68478_ACD8B0E5-94FE-4E07-A7AD-F75FD8C06B87.pdf</v>
      </c>
      <c r="AN803" t="str">
        <f>HYPERLINK("https://transparencia.cidesi.mx/comprobantes/2021/CQ2100540 /C8F68478_ACD8B0E5-94FE-4E07-A7AD-F75FD8C06B87.pdf")</f>
        <v>https://transparencia.cidesi.mx/comprobantes/2021/CQ2100540 /C8F68478_ACD8B0E5-94FE-4E07-A7AD-F75FD8C06B87.pdf</v>
      </c>
      <c r="AO803" t="str">
        <f>HYPERLINK("https://transparencia.cidesi.mx/comprobantes/2021/CQ2100540 /C8F68478_ACD8B0E5-94FE-4E07-A7AD-F75FD8C06B87.xml")</f>
        <v>https://transparencia.cidesi.mx/comprobantes/2021/CQ2100540 /C8F68478_ACD8B0E5-94FE-4E07-A7AD-F75FD8C06B87.xml</v>
      </c>
      <c r="AP803" t="s">
        <v>1510</v>
      </c>
      <c r="AQ803" t="s">
        <v>1511</v>
      </c>
      <c r="AR803" t="s">
        <v>1512</v>
      </c>
      <c r="AS803" t="s">
        <v>1512</v>
      </c>
      <c r="AT803" s="1">
        <v>44400</v>
      </c>
      <c r="AU803" s="1">
        <v>44411</v>
      </c>
    </row>
    <row r="804" spans="1:47" x14ac:dyDescent="0.3">
      <c r="A804" t="s">
        <v>838</v>
      </c>
      <c r="B804" t="s">
        <v>48</v>
      </c>
      <c r="C804" t="s">
        <v>849</v>
      </c>
      <c r="D804">
        <v>918</v>
      </c>
      <c r="E804" t="s">
        <v>1498</v>
      </c>
      <c r="F804" t="s">
        <v>1499</v>
      </c>
      <c r="G804" t="s">
        <v>404</v>
      </c>
      <c r="H804" t="s">
        <v>1506</v>
      </c>
      <c r="I804" t="s">
        <v>54</v>
      </c>
      <c r="J804" t="s">
        <v>1507</v>
      </c>
      <c r="K804" t="s">
        <v>56</v>
      </c>
      <c r="L804">
        <v>604</v>
      </c>
      <c r="M804" t="s">
        <v>1508</v>
      </c>
      <c r="N804">
        <v>0</v>
      </c>
      <c r="O804" t="s">
        <v>58</v>
      </c>
      <c r="P804" t="s">
        <v>59</v>
      </c>
      <c r="Q804" t="s">
        <v>297</v>
      </c>
      <c r="R804" t="s">
        <v>1507</v>
      </c>
      <c r="S804" s="1">
        <v>44391</v>
      </c>
      <c r="T804" s="1">
        <v>44394</v>
      </c>
      <c r="U804">
        <v>37501</v>
      </c>
      <c r="V804" t="s">
        <v>61</v>
      </c>
      <c r="W804" t="s">
        <v>1509</v>
      </c>
      <c r="X804" s="1">
        <v>44398</v>
      </c>
      <c r="Y804" t="s">
        <v>63</v>
      </c>
      <c r="Z804">
        <v>26.29</v>
      </c>
      <c r="AA804">
        <v>16</v>
      </c>
      <c r="AB804">
        <v>4.21</v>
      </c>
      <c r="AC804">
        <v>0</v>
      </c>
      <c r="AD804">
        <v>30.5</v>
      </c>
      <c r="AE804">
        <v>5407.13</v>
      </c>
      <c r="AF804">
        <v>5484</v>
      </c>
      <c r="AG804" t="s">
        <v>1503</v>
      </c>
      <c r="AH804" t="s">
        <v>65</v>
      </c>
      <c r="AI804" t="s">
        <v>65</v>
      </c>
      <c r="AJ804" t="s">
        <v>66</v>
      </c>
      <c r="AK804" t="s">
        <v>66</v>
      </c>
      <c r="AL804" t="s">
        <v>66</v>
      </c>
      <c r="AM804" s="2" t="str">
        <f>HYPERLINK("https://transparencia.cidesi.mx/comprobantes/2021/CQ2100540 /C9FACTURA_1626884288623_337802155.pdf")</f>
        <v>https://transparencia.cidesi.mx/comprobantes/2021/CQ2100540 /C9FACTURA_1626884288623_337802155.pdf</v>
      </c>
      <c r="AN804" t="str">
        <f>HYPERLINK("https://transparencia.cidesi.mx/comprobantes/2021/CQ2100540 /C9FACTURA_1626884288623_337802155.pdf")</f>
        <v>https://transparencia.cidesi.mx/comprobantes/2021/CQ2100540 /C9FACTURA_1626884288623_337802155.pdf</v>
      </c>
      <c r="AO804" t="str">
        <f>HYPERLINK("https://transparencia.cidesi.mx/comprobantes/2021/CQ2100540 /C9FACTURA_1626884290863_337802155.xml")</f>
        <v>https://transparencia.cidesi.mx/comprobantes/2021/CQ2100540 /C9FACTURA_1626884290863_337802155.xml</v>
      </c>
      <c r="AP804" t="s">
        <v>1510</v>
      </c>
      <c r="AQ804" t="s">
        <v>1511</v>
      </c>
      <c r="AR804" t="s">
        <v>1512</v>
      </c>
      <c r="AS804" t="s">
        <v>1512</v>
      </c>
      <c r="AT804" s="1">
        <v>44400</v>
      </c>
      <c r="AU804" s="1">
        <v>44411</v>
      </c>
    </row>
    <row r="805" spans="1:47" x14ac:dyDescent="0.3">
      <c r="A805" t="s">
        <v>838</v>
      </c>
      <c r="B805" t="s">
        <v>48</v>
      </c>
      <c r="C805" t="s">
        <v>849</v>
      </c>
      <c r="D805">
        <v>918</v>
      </c>
      <c r="E805" t="s">
        <v>1498</v>
      </c>
      <c r="F805" t="s">
        <v>1499</v>
      </c>
      <c r="G805" t="s">
        <v>404</v>
      </c>
      <c r="H805" t="s">
        <v>1514</v>
      </c>
      <c r="I805" t="s">
        <v>54</v>
      </c>
      <c r="J805" t="s">
        <v>1515</v>
      </c>
      <c r="K805" t="s">
        <v>56</v>
      </c>
      <c r="L805">
        <v>604</v>
      </c>
      <c r="M805" t="s">
        <v>1508</v>
      </c>
      <c r="N805">
        <v>0</v>
      </c>
      <c r="O805" t="s">
        <v>58</v>
      </c>
      <c r="P805" t="s">
        <v>59</v>
      </c>
      <c r="Q805" t="s">
        <v>108</v>
      </c>
      <c r="R805" t="s">
        <v>1515</v>
      </c>
      <c r="S805" s="1">
        <v>44406</v>
      </c>
      <c r="T805" s="1">
        <v>44407</v>
      </c>
      <c r="U805">
        <v>37501</v>
      </c>
      <c r="V805" t="s">
        <v>61</v>
      </c>
      <c r="W805" t="s">
        <v>1516</v>
      </c>
      <c r="X805" s="1">
        <v>44412</v>
      </c>
      <c r="Y805" t="s">
        <v>63</v>
      </c>
      <c r="Z805">
        <v>419.83</v>
      </c>
      <c r="AA805">
        <v>16</v>
      </c>
      <c r="AB805">
        <v>67.17</v>
      </c>
      <c r="AC805">
        <v>0</v>
      </c>
      <c r="AD805">
        <v>487</v>
      </c>
      <c r="AE805">
        <v>2054.56</v>
      </c>
      <c r="AF805">
        <v>2350</v>
      </c>
      <c r="AG805" t="s">
        <v>1503</v>
      </c>
      <c r="AH805" t="s">
        <v>65</v>
      </c>
      <c r="AI805" t="s">
        <v>65</v>
      </c>
      <c r="AJ805" t="s">
        <v>66</v>
      </c>
      <c r="AK805" t="s">
        <v>66</v>
      </c>
      <c r="AL805" t="s">
        <v>66</v>
      </c>
      <c r="AM805" s="2" t="str">
        <f>HYPERLINK("https://transparencia.cidesi.mx/comprobantes/2021/CQ2100602 /C1P1026474_CPI130617QB2_PDF.pdf")</f>
        <v>https://transparencia.cidesi.mx/comprobantes/2021/CQ2100602 /C1P1026474_CPI130617QB2_PDF.pdf</v>
      </c>
      <c r="AN805" t="str">
        <f>HYPERLINK("https://transparencia.cidesi.mx/comprobantes/2021/CQ2100602 /C1P1026474_CPI130617QB2_PDF.pdf")</f>
        <v>https://transparencia.cidesi.mx/comprobantes/2021/CQ2100602 /C1P1026474_CPI130617QB2_PDF.pdf</v>
      </c>
      <c r="AO805" t="str">
        <f>HYPERLINK("https://transparencia.cidesi.mx/comprobantes/2021/CQ2100602 /C1P102674_CPI130617QB2_XML.xml")</f>
        <v>https://transparencia.cidesi.mx/comprobantes/2021/CQ2100602 /C1P102674_CPI130617QB2_XML.xml</v>
      </c>
      <c r="AP805" t="s">
        <v>1517</v>
      </c>
      <c r="AQ805" t="s">
        <v>1518</v>
      </c>
      <c r="AR805" t="s">
        <v>1519</v>
      </c>
      <c r="AS805" t="s">
        <v>1512</v>
      </c>
      <c r="AT805" s="1">
        <v>44413</v>
      </c>
      <c r="AU805" s="1">
        <v>44424</v>
      </c>
    </row>
    <row r="806" spans="1:47" x14ac:dyDescent="0.3">
      <c r="A806" t="s">
        <v>838</v>
      </c>
      <c r="B806" t="s">
        <v>48</v>
      </c>
      <c r="C806" t="s">
        <v>849</v>
      </c>
      <c r="D806">
        <v>918</v>
      </c>
      <c r="E806" t="s">
        <v>1498</v>
      </c>
      <c r="F806" t="s">
        <v>1499</v>
      </c>
      <c r="G806" t="s">
        <v>404</v>
      </c>
      <c r="H806" t="s">
        <v>1514</v>
      </c>
      <c r="I806" t="s">
        <v>54</v>
      </c>
      <c r="J806" t="s">
        <v>1515</v>
      </c>
      <c r="K806" t="s">
        <v>56</v>
      </c>
      <c r="L806">
        <v>604</v>
      </c>
      <c r="M806" t="s">
        <v>1508</v>
      </c>
      <c r="N806">
        <v>0</v>
      </c>
      <c r="O806" t="s">
        <v>58</v>
      </c>
      <c r="P806" t="s">
        <v>59</v>
      </c>
      <c r="Q806" t="s">
        <v>108</v>
      </c>
      <c r="R806" t="s">
        <v>1515</v>
      </c>
      <c r="S806" s="1">
        <v>44406</v>
      </c>
      <c r="T806" s="1">
        <v>44407</v>
      </c>
      <c r="U806">
        <v>37501</v>
      </c>
      <c r="V806" t="s">
        <v>61</v>
      </c>
      <c r="W806" t="s">
        <v>1516</v>
      </c>
      <c r="X806" s="1">
        <v>44412</v>
      </c>
      <c r="Y806" t="s">
        <v>63</v>
      </c>
      <c r="Z806">
        <v>320.69</v>
      </c>
      <c r="AA806">
        <v>16</v>
      </c>
      <c r="AB806">
        <v>51.31</v>
      </c>
      <c r="AC806">
        <v>37.200000000000003</v>
      </c>
      <c r="AD806">
        <v>409.2</v>
      </c>
      <c r="AE806">
        <v>2054.56</v>
      </c>
      <c r="AF806">
        <v>2350</v>
      </c>
      <c r="AG806" t="s">
        <v>1503</v>
      </c>
      <c r="AH806" t="s">
        <v>65</v>
      </c>
      <c r="AI806" t="s">
        <v>65</v>
      </c>
      <c r="AJ806" t="s">
        <v>66</v>
      </c>
      <c r="AK806" t="s">
        <v>66</v>
      </c>
      <c r="AL806" t="s">
        <v>66</v>
      </c>
      <c r="AM806" s="2" t="str">
        <f>HYPERLINK("https://transparencia.cidesi.mx/comprobantes/2021/CQ2100602 /C229781_GAS910208GP3_PDF.pdf")</f>
        <v>https://transparencia.cidesi.mx/comprobantes/2021/CQ2100602 /C229781_GAS910208GP3_PDF.pdf</v>
      </c>
      <c r="AN806" t="str">
        <f>HYPERLINK("https://transparencia.cidesi.mx/comprobantes/2021/CQ2100602 /C229781_GAS910208GP3_PDF.pdf")</f>
        <v>https://transparencia.cidesi.mx/comprobantes/2021/CQ2100602 /C229781_GAS910208GP3_PDF.pdf</v>
      </c>
      <c r="AO806" t="str">
        <f>HYPERLINK("https://transparencia.cidesi.mx/comprobantes/2021/CQ2100602 /C229781_GAS910208GP3_XML.xml")</f>
        <v>https://transparencia.cidesi.mx/comprobantes/2021/CQ2100602 /C229781_GAS910208GP3_XML.xml</v>
      </c>
      <c r="AP806" t="s">
        <v>1517</v>
      </c>
      <c r="AQ806" t="s">
        <v>1518</v>
      </c>
      <c r="AR806" t="s">
        <v>1519</v>
      </c>
      <c r="AS806" t="s">
        <v>1512</v>
      </c>
      <c r="AT806" s="1">
        <v>44413</v>
      </c>
      <c r="AU806" s="1">
        <v>44424</v>
      </c>
    </row>
    <row r="807" spans="1:47" x14ac:dyDescent="0.3">
      <c r="A807" t="s">
        <v>838</v>
      </c>
      <c r="B807" t="s">
        <v>48</v>
      </c>
      <c r="C807" t="s">
        <v>849</v>
      </c>
      <c r="D807">
        <v>918</v>
      </c>
      <c r="E807" t="s">
        <v>1498</v>
      </c>
      <c r="F807" t="s">
        <v>1499</v>
      </c>
      <c r="G807" t="s">
        <v>404</v>
      </c>
      <c r="H807" t="s">
        <v>1514</v>
      </c>
      <c r="I807" t="s">
        <v>54</v>
      </c>
      <c r="J807" t="s">
        <v>1515</v>
      </c>
      <c r="K807" t="s">
        <v>56</v>
      </c>
      <c r="L807">
        <v>604</v>
      </c>
      <c r="M807" t="s">
        <v>1508</v>
      </c>
      <c r="N807">
        <v>0</v>
      </c>
      <c r="O807" t="s">
        <v>58</v>
      </c>
      <c r="P807" t="s">
        <v>59</v>
      </c>
      <c r="Q807" t="s">
        <v>108</v>
      </c>
      <c r="R807" t="s">
        <v>1515</v>
      </c>
      <c r="S807" s="1">
        <v>44406</v>
      </c>
      <c r="T807" s="1">
        <v>44407</v>
      </c>
      <c r="U807">
        <v>37501</v>
      </c>
      <c r="V807" t="s">
        <v>104</v>
      </c>
      <c r="W807" t="s">
        <v>1516</v>
      </c>
      <c r="X807" s="1">
        <v>44412</v>
      </c>
      <c r="Y807" t="s">
        <v>63</v>
      </c>
      <c r="Z807">
        <v>1003.91</v>
      </c>
      <c r="AA807">
        <v>16</v>
      </c>
      <c r="AB807">
        <v>154.44999999999999</v>
      </c>
      <c r="AC807">
        <v>0</v>
      </c>
      <c r="AD807">
        <v>1158.3599999999999</v>
      </c>
      <c r="AE807">
        <v>2054.56</v>
      </c>
      <c r="AF807">
        <v>2350</v>
      </c>
      <c r="AG807" t="s">
        <v>1513</v>
      </c>
      <c r="AH807" t="s">
        <v>66</v>
      </c>
      <c r="AI807" t="s">
        <v>65</v>
      </c>
      <c r="AJ807" t="s">
        <v>66</v>
      </c>
      <c r="AK807" t="s">
        <v>66</v>
      </c>
      <c r="AL807" t="s">
        <v>66</v>
      </c>
      <c r="AM807" s="2" t="str">
        <f>HYPERLINK("https://transparencia.cidesi.mx/comprobantes/2021/CQ2100602 /C3F1596_FFX121005C6A_PDF.pdf")</f>
        <v>https://transparencia.cidesi.mx/comprobantes/2021/CQ2100602 /C3F1596_FFX121005C6A_PDF.pdf</v>
      </c>
      <c r="AN807" t="str">
        <f>HYPERLINK("https://transparencia.cidesi.mx/comprobantes/2021/CQ2100602 /C3F1596_FFX121005C6A_PDF.pdf")</f>
        <v>https://transparencia.cidesi.mx/comprobantes/2021/CQ2100602 /C3F1596_FFX121005C6A_PDF.pdf</v>
      </c>
      <c r="AO807" t="str">
        <f>HYPERLINK("https://transparencia.cidesi.mx/comprobantes/2021/CQ2100602 /C3F1596_FFX121005C6A_XML.xml")</f>
        <v>https://transparencia.cidesi.mx/comprobantes/2021/CQ2100602 /C3F1596_FFX121005C6A_XML.xml</v>
      </c>
      <c r="AP807" t="s">
        <v>1517</v>
      </c>
      <c r="AQ807" t="s">
        <v>1518</v>
      </c>
      <c r="AR807" t="s">
        <v>1519</v>
      </c>
      <c r="AS807" t="s">
        <v>1512</v>
      </c>
      <c r="AT807" s="1">
        <v>44413</v>
      </c>
      <c r="AU807" s="1">
        <v>44424</v>
      </c>
    </row>
    <row r="808" spans="1:47" x14ac:dyDescent="0.3">
      <c r="A808" t="s">
        <v>1520</v>
      </c>
      <c r="B808" t="s">
        <v>48</v>
      </c>
      <c r="C808" t="s">
        <v>1521</v>
      </c>
      <c r="D808">
        <v>7007</v>
      </c>
      <c r="E808" t="s">
        <v>1522</v>
      </c>
      <c r="F808" t="s">
        <v>1523</v>
      </c>
      <c r="G808" t="s">
        <v>1524</v>
      </c>
      <c r="H808" t="s">
        <v>1525</v>
      </c>
      <c r="I808" t="s">
        <v>54</v>
      </c>
      <c r="J808" t="s">
        <v>1526</v>
      </c>
      <c r="K808" t="s">
        <v>56</v>
      </c>
      <c r="L808">
        <v>0</v>
      </c>
      <c r="M808" t="s">
        <v>73</v>
      </c>
      <c r="N808">
        <v>0</v>
      </c>
      <c r="O808" t="s">
        <v>58</v>
      </c>
      <c r="P808" t="s">
        <v>1527</v>
      </c>
      <c r="Q808" t="s">
        <v>1528</v>
      </c>
      <c r="R808" t="s">
        <v>1526</v>
      </c>
      <c r="S808" s="1">
        <v>44385</v>
      </c>
      <c r="T808" s="1">
        <v>44385</v>
      </c>
      <c r="U808">
        <v>37501</v>
      </c>
      <c r="V808" t="s">
        <v>61</v>
      </c>
      <c r="W808" t="s">
        <v>1529</v>
      </c>
      <c r="X808" s="1">
        <v>44389</v>
      </c>
      <c r="Y808" t="s">
        <v>63</v>
      </c>
      <c r="Z808">
        <v>338.79</v>
      </c>
      <c r="AA808">
        <v>16</v>
      </c>
      <c r="AB808">
        <v>54.21</v>
      </c>
      <c r="AC808">
        <v>39.299999999999997</v>
      </c>
      <c r="AD808">
        <v>432.3</v>
      </c>
      <c r="AE808">
        <v>432.3</v>
      </c>
      <c r="AF808">
        <v>783</v>
      </c>
      <c r="AG808" t="s">
        <v>1530</v>
      </c>
      <c r="AH808" t="s">
        <v>65</v>
      </c>
      <c r="AI808" t="s">
        <v>65</v>
      </c>
      <c r="AJ808" t="s">
        <v>66</v>
      </c>
      <c r="AK808" t="s">
        <v>66</v>
      </c>
      <c r="AL808" t="s">
        <v>66</v>
      </c>
      <c r="AM808" s="2" t="str">
        <f>HYPERLINK("https://transparencia.cidesi.mx/comprobantes/2021/CN2100007 /C1GHE080926K33_A0000043866.pdf")</f>
        <v>https://transparencia.cidesi.mx/comprobantes/2021/CN2100007 /C1GHE080926K33_A0000043866.pdf</v>
      </c>
      <c r="AN808" t="str">
        <f>HYPERLINK("https://transparencia.cidesi.mx/comprobantes/2021/CN2100007 /C1GHE080926K33_A0000043866.pdf")</f>
        <v>https://transparencia.cidesi.mx/comprobantes/2021/CN2100007 /C1GHE080926K33_A0000043866.pdf</v>
      </c>
      <c r="AO808" t="str">
        <f>HYPERLINK("https://transparencia.cidesi.mx/comprobantes/2021/CN2100007 /C1GHE080926K33_A0000043866.xml")</f>
        <v>https://transparencia.cidesi.mx/comprobantes/2021/CN2100007 /C1GHE080926K33_A0000043866.xml</v>
      </c>
      <c r="AP808" t="s">
        <v>1531</v>
      </c>
      <c r="AQ808" t="s">
        <v>1532</v>
      </c>
      <c r="AR808" t="s">
        <v>1533</v>
      </c>
      <c r="AS808" t="s">
        <v>1534</v>
      </c>
      <c r="AT808" s="1">
        <v>44390</v>
      </c>
      <c r="AU808" s="1">
        <v>44390</v>
      </c>
    </row>
    <row r="809" spans="1:47" x14ac:dyDescent="0.3">
      <c r="A809" t="s">
        <v>881</v>
      </c>
      <c r="B809" t="s">
        <v>224</v>
      </c>
      <c r="C809" t="s">
        <v>225</v>
      </c>
      <c r="D809">
        <v>9016</v>
      </c>
      <c r="E809" t="s">
        <v>1535</v>
      </c>
      <c r="F809" t="s">
        <v>1536</v>
      </c>
      <c r="G809" t="s">
        <v>724</v>
      </c>
      <c r="H809" t="s">
        <v>1537</v>
      </c>
      <c r="I809" t="s">
        <v>54</v>
      </c>
      <c r="J809" t="s">
        <v>1538</v>
      </c>
      <c r="K809" t="s">
        <v>56</v>
      </c>
      <c r="L809">
        <v>0</v>
      </c>
      <c r="M809" t="s">
        <v>73</v>
      </c>
      <c r="N809">
        <v>0</v>
      </c>
      <c r="O809" t="s">
        <v>58</v>
      </c>
      <c r="P809" t="s">
        <v>59</v>
      </c>
      <c r="Q809" t="s">
        <v>216</v>
      </c>
      <c r="R809" t="s">
        <v>1538</v>
      </c>
      <c r="S809" s="1">
        <v>44383</v>
      </c>
      <c r="T809" s="1">
        <v>44383</v>
      </c>
      <c r="U809">
        <v>37501</v>
      </c>
      <c r="V809" t="s">
        <v>61</v>
      </c>
      <c r="W809" t="s">
        <v>1539</v>
      </c>
      <c r="X809" s="1">
        <v>44384</v>
      </c>
      <c r="Y809" t="s">
        <v>63</v>
      </c>
      <c r="Z809">
        <v>350</v>
      </c>
      <c r="AA809">
        <v>16</v>
      </c>
      <c r="AB809">
        <v>56</v>
      </c>
      <c r="AC809">
        <v>41</v>
      </c>
      <c r="AD809">
        <v>447</v>
      </c>
      <c r="AE809">
        <v>447</v>
      </c>
      <c r="AF809">
        <v>545</v>
      </c>
      <c r="AG809" t="s">
        <v>1540</v>
      </c>
      <c r="AH809" t="s">
        <v>65</v>
      </c>
      <c r="AI809" t="s">
        <v>65</v>
      </c>
      <c r="AJ809" t="s">
        <v>66</v>
      </c>
      <c r="AK809" t="s">
        <v>66</v>
      </c>
      <c r="AL809" t="s">
        <v>66</v>
      </c>
      <c r="AM809" s="2" t="str">
        <f>HYPERLINK("https://transparencia.cidesi.mx/comprobantes/2021/CQ2100475 /C1AAA0000021560.pdf")</f>
        <v>https://transparencia.cidesi.mx/comprobantes/2021/CQ2100475 /C1AAA0000021560.pdf</v>
      </c>
      <c r="AN809" t="str">
        <f>HYPERLINK("https://transparencia.cidesi.mx/comprobantes/2021/CQ2100475 /C1AAA0000021560.pdf")</f>
        <v>https://transparencia.cidesi.mx/comprobantes/2021/CQ2100475 /C1AAA0000021560.pdf</v>
      </c>
      <c r="AO809" t="str">
        <f>HYPERLINK("https://transparencia.cidesi.mx/comprobantes/2021/CQ2100475 /C1AAA0000021560.xml")</f>
        <v>https://transparencia.cidesi.mx/comprobantes/2021/CQ2100475 /C1AAA0000021560.xml</v>
      </c>
      <c r="AP809" t="s">
        <v>1541</v>
      </c>
      <c r="AQ809" t="s">
        <v>1542</v>
      </c>
      <c r="AR809" t="s">
        <v>891</v>
      </c>
      <c r="AS809" t="s">
        <v>1543</v>
      </c>
      <c r="AT809" s="1">
        <v>44385</v>
      </c>
      <c r="AU809" s="1">
        <v>44389</v>
      </c>
    </row>
    <row r="810" spans="1:47" x14ac:dyDescent="0.3">
      <c r="A810" t="s">
        <v>881</v>
      </c>
      <c r="B810" t="s">
        <v>224</v>
      </c>
      <c r="C810" t="s">
        <v>225</v>
      </c>
      <c r="D810">
        <v>9016</v>
      </c>
      <c r="E810" t="s">
        <v>1535</v>
      </c>
      <c r="F810" t="s">
        <v>1536</v>
      </c>
      <c r="G810" t="s">
        <v>724</v>
      </c>
      <c r="H810" t="s">
        <v>1544</v>
      </c>
      <c r="I810" t="s">
        <v>54</v>
      </c>
      <c r="J810" t="s">
        <v>1538</v>
      </c>
      <c r="K810" t="s">
        <v>56</v>
      </c>
      <c r="L810">
        <v>0</v>
      </c>
      <c r="M810" t="s">
        <v>73</v>
      </c>
      <c r="N810">
        <v>0</v>
      </c>
      <c r="O810" t="s">
        <v>58</v>
      </c>
      <c r="P810" t="s">
        <v>59</v>
      </c>
      <c r="Q810" t="s">
        <v>216</v>
      </c>
      <c r="R810" t="s">
        <v>1538</v>
      </c>
      <c r="S810" s="1">
        <v>44384</v>
      </c>
      <c r="T810" s="1">
        <v>44384</v>
      </c>
      <c r="U810">
        <v>37501</v>
      </c>
      <c r="V810" t="s">
        <v>61</v>
      </c>
      <c r="W810" t="s">
        <v>1545</v>
      </c>
      <c r="X810" s="1">
        <v>44385</v>
      </c>
      <c r="Y810" t="s">
        <v>63</v>
      </c>
      <c r="Z810">
        <v>331.9</v>
      </c>
      <c r="AA810">
        <v>16</v>
      </c>
      <c r="AB810">
        <v>53.1</v>
      </c>
      <c r="AC810">
        <v>40</v>
      </c>
      <c r="AD810">
        <v>425</v>
      </c>
      <c r="AE810">
        <v>475</v>
      </c>
      <c r="AF810">
        <v>545</v>
      </c>
      <c r="AG810" t="s">
        <v>1540</v>
      </c>
      <c r="AH810" t="s">
        <v>65</v>
      </c>
      <c r="AI810" t="s">
        <v>65</v>
      </c>
      <c r="AJ810" t="s">
        <v>66</v>
      </c>
      <c r="AK810" t="s">
        <v>66</v>
      </c>
      <c r="AL810" t="s">
        <v>66</v>
      </c>
      <c r="AM810" s="2" t="str">
        <f>HYPERLINK("https://transparencia.cidesi.mx/comprobantes/2021/CQ2100484 /C1CID840309UG7F0000018741.pdf")</f>
        <v>https://transparencia.cidesi.mx/comprobantes/2021/CQ2100484 /C1CID840309UG7F0000018741.pdf</v>
      </c>
      <c r="AN810" t="str">
        <f>HYPERLINK("https://transparencia.cidesi.mx/comprobantes/2021/CQ2100484 /C1CID840309UG7F0000018741.pdf")</f>
        <v>https://transparencia.cidesi.mx/comprobantes/2021/CQ2100484 /C1CID840309UG7F0000018741.pdf</v>
      </c>
      <c r="AO810" t="str">
        <f>HYPERLINK("https://transparencia.cidesi.mx/comprobantes/2021/CQ2100484 /C1CID840309UG7F0000018741.xml")</f>
        <v>https://transparencia.cidesi.mx/comprobantes/2021/CQ2100484 /C1CID840309UG7F0000018741.xml</v>
      </c>
      <c r="AP810" t="s">
        <v>1541</v>
      </c>
      <c r="AQ810" t="s">
        <v>1546</v>
      </c>
      <c r="AR810" t="s">
        <v>891</v>
      </c>
      <c r="AS810" t="s">
        <v>1543</v>
      </c>
      <c r="AT810" s="1">
        <v>44385</v>
      </c>
      <c r="AU810" s="1">
        <v>44389</v>
      </c>
    </row>
    <row r="811" spans="1:47" x14ac:dyDescent="0.3">
      <c r="A811" t="s">
        <v>881</v>
      </c>
      <c r="B811" t="s">
        <v>224</v>
      </c>
      <c r="C811" t="s">
        <v>225</v>
      </c>
      <c r="D811">
        <v>9016</v>
      </c>
      <c r="E811" t="s">
        <v>1535</v>
      </c>
      <c r="F811" t="s">
        <v>1536</v>
      </c>
      <c r="G811" t="s">
        <v>724</v>
      </c>
      <c r="H811" t="s">
        <v>1544</v>
      </c>
      <c r="I811" t="s">
        <v>54</v>
      </c>
      <c r="J811" t="s">
        <v>1538</v>
      </c>
      <c r="K811" t="s">
        <v>56</v>
      </c>
      <c r="L811">
        <v>0</v>
      </c>
      <c r="M811" t="s">
        <v>73</v>
      </c>
      <c r="N811">
        <v>0</v>
      </c>
      <c r="O811" t="s">
        <v>58</v>
      </c>
      <c r="P811" t="s">
        <v>59</v>
      </c>
      <c r="Q811" t="s">
        <v>216</v>
      </c>
      <c r="R811" t="s">
        <v>1538</v>
      </c>
      <c r="S811" s="1">
        <v>44384</v>
      </c>
      <c r="T811" s="1">
        <v>44384</v>
      </c>
      <c r="U811">
        <v>37501</v>
      </c>
      <c r="V811" t="s">
        <v>61</v>
      </c>
      <c r="W811" t="s">
        <v>1545</v>
      </c>
      <c r="X811" s="1">
        <v>44385</v>
      </c>
      <c r="Y811" t="s">
        <v>63</v>
      </c>
      <c r="Z811">
        <v>46.07</v>
      </c>
      <c r="AA811">
        <v>16</v>
      </c>
      <c r="AB811">
        <v>3.93</v>
      </c>
      <c r="AC811">
        <v>0</v>
      </c>
      <c r="AD811">
        <v>50</v>
      </c>
      <c r="AE811">
        <v>475</v>
      </c>
      <c r="AF811">
        <v>545</v>
      </c>
      <c r="AG811" t="s">
        <v>1540</v>
      </c>
      <c r="AH811" t="s">
        <v>65</v>
      </c>
      <c r="AI811" t="s">
        <v>65</v>
      </c>
      <c r="AJ811" t="s">
        <v>66</v>
      </c>
      <c r="AK811" t="s">
        <v>66</v>
      </c>
      <c r="AL811" t="s">
        <v>66</v>
      </c>
      <c r="AM811" s="2" t="str">
        <f>HYPERLINK("https://transparencia.cidesi.mx/comprobantes/2021/CQ2100484 /C2FACTURA_1625749099959_336513457.pdf")</f>
        <v>https://transparencia.cidesi.mx/comprobantes/2021/CQ2100484 /C2FACTURA_1625749099959_336513457.pdf</v>
      </c>
      <c r="AN811" t="str">
        <f>HYPERLINK("https://transparencia.cidesi.mx/comprobantes/2021/CQ2100484 /C2FACTURA_1625749099959_336513457.pdf")</f>
        <v>https://transparencia.cidesi.mx/comprobantes/2021/CQ2100484 /C2FACTURA_1625749099959_336513457.pdf</v>
      </c>
      <c r="AO811" t="str">
        <f>HYPERLINK("https://transparencia.cidesi.mx/comprobantes/2021/CQ2100484 /C2FACTURA_1625749099959_336513457.xml")</f>
        <v>https://transparencia.cidesi.mx/comprobantes/2021/CQ2100484 /C2FACTURA_1625749099959_336513457.xml</v>
      </c>
      <c r="AP811" t="s">
        <v>1541</v>
      </c>
      <c r="AQ811" t="s">
        <v>1546</v>
      </c>
      <c r="AR811" t="s">
        <v>891</v>
      </c>
      <c r="AS811" t="s">
        <v>1543</v>
      </c>
      <c r="AT811" s="1">
        <v>44385</v>
      </c>
      <c r="AU811" s="1">
        <v>44389</v>
      </c>
    </row>
    <row r="812" spans="1:47" x14ac:dyDescent="0.3">
      <c r="A812" t="s">
        <v>881</v>
      </c>
      <c r="B812" t="s">
        <v>224</v>
      </c>
      <c r="C812" t="s">
        <v>225</v>
      </c>
      <c r="D812">
        <v>9016</v>
      </c>
      <c r="E812" t="s">
        <v>1535</v>
      </c>
      <c r="F812" t="s">
        <v>1536</v>
      </c>
      <c r="G812" t="s">
        <v>724</v>
      </c>
      <c r="H812" t="s">
        <v>1547</v>
      </c>
      <c r="I812" t="s">
        <v>54</v>
      </c>
      <c r="J812" t="s">
        <v>1548</v>
      </c>
      <c r="K812" t="s">
        <v>56</v>
      </c>
      <c r="L812">
        <v>0</v>
      </c>
      <c r="M812" t="s">
        <v>73</v>
      </c>
      <c r="N812">
        <v>0</v>
      </c>
      <c r="O812" t="s">
        <v>58</v>
      </c>
      <c r="P812" t="s">
        <v>59</v>
      </c>
      <c r="Q812" t="s">
        <v>216</v>
      </c>
      <c r="R812" t="s">
        <v>1548</v>
      </c>
      <c r="S812" s="1">
        <v>44396</v>
      </c>
      <c r="T812" s="1">
        <v>44396</v>
      </c>
      <c r="U812">
        <v>37501</v>
      </c>
      <c r="V812" t="s">
        <v>61</v>
      </c>
      <c r="W812" t="s">
        <v>1549</v>
      </c>
      <c r="X812" s="1">
        <v>44397</v>
      </c>
      <c r="Y812" t="s">
        <v>63</v>
      </c>
      <c r="Z812">
        <v>333.62</v>
      </c>
      <c r="AA812">
        <v>16</v>
      </c>
      <c r="AB812">
        <v>53.38</v>
      </c>
      <c r="AC812">
        <v>39</v>
      </c>
      <c r="AD812">
        <v>426</v>
      </c>
      <c r="AE812">
        <v>501</v>
      </c>
      <c r="AF812">
        <v>545</v>
      </c>
      <c r="AG812" t="s">
        <v>1540</v>
      </c>
      <c r="AH812" t="s">
        <v>65</v>
      </c>
      <c r="AI812" t="s">
        <v>65</v>
      </c>
      <c r="AJ812" t="s">
        <v>66</v>
      </c>
      <c r="AK812" t="s">
        <v>66</v>
      </c>
      <c r="AL812" t="s">
        <v>66</v>
      </c>
      <c r="AM812" s="2" t="str">
        <f>HYPERLINK("https://transparencia.cidesi.mx/comprobantes/2021/CQ2100534 /C1CID840309UG7F0000018900.pdf")</f>
        <v>https://transparencia.cidesi.mx/comprobantes/2021/CQ2100534 /C1CID840309UG7F0000018900.pdf</v>
      </c>
      <c r="AN812" t="str">
        <f>HYPERLINK("https://transparencia.cidesi.mx/comprobantes/2021/CQ2100534 /C1CID840309UG7F0000018900.pdf")</f>
        <v>https://transparencia.cidesi.mx/comprobantes/2021/CQ2100534 /C1CID840309UG7F0000018900.pdf</v>
      </c>
      <c r="AO812" t="str">
        <f>HYPERLINK("https://transparencia.cidesi.mx/comprobantes/2021/CQ2100534 /C1CID840309UG7F0000018900.xml")</f>
        <v>https://transparencia.cidesi.mx/comprobantes/2021/CQ2100534 /C1CID840309UG7F0000018900.xml</v>
      </c>
      <c r="AP812" t="s">
        <v>1550</v>
      </c>
      <c r="AQ812" t="s">
        <v>1551</v>
      </c>
      <c r="AR812" t="s">
        <v>891</v>
      </c>
      <c r="AS812" t="s">
        <v>1543</v>
      </c>
      <c r="AT812" s="1">
        <v>44399</v>
      </c>
      <c r="AU812" s="1">
        <v>44403</v>
      </c>
    </row>
    <row r="813" spans="1:47" x14ac:dyDescent="0.3">
      <c r="A813" t="s">
        <v>881</v>
      </c>
      <c r="B813" t="s">
        <v>224</v>
      </c>
      <c r="C813" t="s">
        <v>225</v>
      </c>
      <c r="D813">
        <v>9016</v>
      </c>
      <c r="E813" t="s">
        <v>1535</v>
      </c>
      <c r="F813" t="s">
        <v>1536</v>
      </c>
      <c r="G813" t="s">
        <v>724</v>
      </c>
      <c r="H813" t="s">
        <v>1547</v>
      </c>
      <c r="I813" t="s">
        <v>54</v>
      </c>
      <c r="J813" t="s">
        <v>1548</v>
      </c>
      <c r="K813" t="s">
        <v>56</v>
      </c>
      <c r="L813">
        <v>0</v>
      </c>
      <c r="M813" t="s">
        <v>73</v>
      </c>
      <c r="N813">
        <v>0</v>
      </c>
      <c r="O813" t="s">
        <v>58</v>
      </c>
      <c r="P813" t="s">
        <v>59</v>
      </c>
      <c r="Q813" t="s">
        <v>216</v>
      </c>
      <c r="R813" t="s">
        <v>1548</v>
      </c>
      <c r="S813" s="1">
        <v>44396</v>
      </c>
      <c r="T813" s="1">
        <v>44396</v>
      </c>
      <c r="U813">
        <v>37501</v>
      </c>
      <c r="V813" t="s">
        <v>61</v>
      </c>
      <c r="W813" t="s">
        <v>1549</v>
      </c>
      <c r="X813" s="1">
        <v>44397</v>
      </c>
      <c r="Y813" t="s">
        <v>63</v>
      </c>
      <c r="Z813">
        <v>72.45</v>
      </c>
      <c r="AA813">
        <v>16</v>
      </c>
      <c r="AB813">
        <v>2.5499999999999998</v>
      </c>
      <c r="AC813">
        <v>0</v>
      </c>
      <c r="AD813">
        <v>75</v>
      </c>
      <c r="AE813">
        <v>501</v>
      </c>
      <c r="AF813">
        <v>545</v>
      </c>
      <c r="AG813" t="s">
        <v>1540</v>
      </c>
      <c r="AH813" t="s">
        <v>65</v>
      </c>
      <c r="AI813" t="s">
        <v>65</v>
      </c>
      <c r="AJ813" t="s">
        <v>66</v>
      </c>
      <c r="AK813" t="s">
        <v>66</v>
      </c>
      <c r="AL813" t="s">
        <v>66</v>
      </c>
      <c r="AM813" s="2" t="str">
        <f>HYPERLINK("https://transparencia.cidesi.mx/comprobantes/2021/CQ2100534 /C2FACTURA_1626785791543_337654883.pdf")</f>
        <v>https://transparencia.cidesi.mx/comprobantes/2021/CQ2100534 /C2FACTURA_1626785791543_337654883.pdf</v>
      </c>
      <c r="AN813" t="str">
        <f>HYPERLINK("https://transparencia.cidesi.mx/comprobantes/2021/CQ2100534 /C2FACTURA_1626785791543_337654883.pdf")</f>
        <v>https://transparencia.cidesi.mx/comprobantes/2021/CQ2100534 /C2FACTURA_1626785791543_337654883.pdf</v>
      </c>
      <c r="AO813" t="str">
        <f>HYPERLINK("https://transparencia.cidesi.mx/comprobantes/2021/CQ2100534 /C2FACTURA_1626785791543_337654883.xml")</f>
        <v>https://transparencia.cidesi.mx/comprobantes/2021/CQ2100534 /C2FACTURA_1626785791543_337654883.xml</v>
      </c>
      <c r="AP813" t="s">
        <v>1550</v>
      </c>
      <c r="AQ813" t="s">
        <v>1551</v>
      </c>
      <c r="AR813" t="s">
        <v>891</v>
      </c>
      <c r="AS813" t="s">
        <v>1543</v>
      </c>
      <c r="AT813" s="1">
        <v>44399</v>
      </c>
      <c r="AU813" s="1">
        <v>44403</v>
      </c>
    </row>
    <row r="814" spans="1:47" x14ac:dyDescent="0.3">
      <c r="A814" t="s">
        <v>881</v>
      </c>
      <c r="B814" t="s">
        <v>224</v>
      </c>
      <c r="C814" t="s">
        <v>225</v>
      </c>
      <c r="D814">
        <v>9016</v>
      </c>
      <c r="E814" t="s">
        <v>1535</v>
      </c>
      <c r="F814" t="s">
        <v>1536</v>
      </c>
      <c r="G814" t="s">
        <v>724</v>
      </c>
      <c r="H814" t="s">
        <v>1552</v>
      </c>
      <c r="I814" t="s">
        <v>54</v>
      </c>
      <c r="J814" t="s">
        <v>1538</v>
      </c>
      <c r="K814" t="s">
        <v>56</v>
      </c>
      <c r="L814">
        <v>0</v>
      </c>
      <c r="M814" t="s">
        <v>73</v>
      </c>
      <c r="N814">
        <v>0</v>
      </c>
      <c r="O814" t="s">
        <v>58</v>
      </c>
      <c r="P814" t="s">
        <v>59</v>
      </c>
      <c r="Q814" t="s">
        <v>216</v>
      </c>
      <c r="R814" t="s">
        <v>1538</v>
      </c>
      <c r="S814" s="1">
        <v>44399</v>
      </c>
      <c r="T814" s="1">
        <v>44400</v>
      </c>
      <c r="U814">
        <v>37501</v>
      </c>
      <c r="V814" t="s">
        <v>61</v>
      </c>
      <c r="W814" t="s">
        <v>1553</v>
      </c>
      <c r="X814" s="1">
        <v>44403</v>
      </c>
      <c r="Y814" t="s">
        <v>63</v>
      </c>
      <c r="Z814">
        <v>55.57</v>
      </c>
      <c r="AA814">
        <v>16</v>
      </c>
      <c r="AB814">
        <v>3.93</v>
      </c>
      <c r="AC814">
        <v>0</v>
      </c>
      <c r="AD814">
        <v>59.5</v>
      </c>
      <c r="AE814">
        <v>1558.5</v>
      </c>
      <c r="AF814">
        <v>1636</v>
      </c>
      <c r="AG814" t="s">
        <v>1540</v>
      </c>
      <c r="AH814" t="s">
        <v>65</v>
      </c>
      <c r="AI814" t="s">
        <v>65</v>
      </c>
      <c r="AJ814" t="s">
        <v>66</v>
      </c>
      <c r="AK814" t="s">
        <v>66</v>
      </c>
      <c r="AL814" t="s">
        <v>66</v>
      </c>
      <c r="AM814" s="2" t="str">
        <f>HYPERLINK("https://transparencia.cidesi.mx/comprobantes/2021/CQ2100548 /C1FACTURA_1627307974043_338328441.pdf")</f>
        <v>https://transparencia.cidesi.mx/comprobantes/2021/CQ2100548 /C1FACTURA_1627307974043_338328441.pdf</v>
      </c>
      <c r="AN814" t="str">
        <f>HYPERLINK("https://transparencia.cidesi.mx/comprobantes/2021/CQ2100548 /C1FACTURA_1627307974043_338328441.pdf")</f>
        <v>https://transparencia.cidesi.mx/comprobantes/2021/CQ2100548 /C1FACTURA_1627307974043_338328441.pdf</v>
      </c>
      <c r="AO814" t="str">
        <f>HYPERLINK("https://transparencia.cidesi.mx/comprobantes/2021/CQ2100548 /C1FACTURA_1627307974043_338328441.xml")</f>
        <v>https://transparencia.cidesi.mx/comprobantes/2021/CQ2100548 /C1FACTURA_1627307974043_338328441.xml</v>
      </c>
      <c r="AP814" t="s">
        <v>1554</v>
      </c>
      <c r="AQ814" t="s">
        <v>1555</v>
      </c>
      <c r="AR814" t="s">
        <v>891</v>
      </c>
      <c r="AS814" t="s">
        <v>1543</v>
      </c>
      <c r="AT814" s="1">
        <v>44405</v>
      </c>
      <c r="AU814" s="1">
        <v>44424</v>
      </c>
    </row>
    <row r="815" spans="1:47" x14ac:dyDescent="0.3">
      <c r="A815" t="s">
        <v>881</v>
      </c>
      <c r="B815" t="s">
        <v>224</v>
      </c>
      <c r="C815" t="s">
        <v>225</v>
      </c>
      <c r="D815">
        <v>9016</v>
      </c>
      <c r="E815" t="s">
        <v>1535</v>
      </c>
      <c r="F815" t="s">
        <v>1536</v>
      </c>
      <c r="G815" t="s">
        <v>724</v>
      </c>
      <c r="H815" t="s">
        <v>1552</v>
      </c>
      <c r="I815" t="s">
        <v>54</v>
      </c>
      <c r="J815" t="s">
        <v>1538</v>
      </c>
      <c r="K815" t="s">
        <v>56</v>
      </c>
      <c r="L815">
        <v>0</v>
      </c>
      <c r="M815" t="s">
        <v>73</v>
      </c>
      <c r="N815">
        <v>0</v>
      </c>
      <c r="O815" t="s">
        <v>58</v>
      </c>
      <c r="P815" t="s">
        <v>59</v>
      </c>
      <c r="Q815" t="s">
        <v>216</v>
      </c>
      <c r="R815" t="s">
        <v>1538</v>
      </c>
      <c r="S815" s="1">
        <v>44399</v>
      </c>
      <c r="T815" s="1">
        <v>44400</v>
      </c>
      <c r="U815">
        <v>37501</v>
      </c>
      <c r="V815" t="s">
        <v>104</v>
      </c>
      <c r="W815" t="s">
        <v>1553</v>
      </c>
      <c r="X815" s="1">
        <v>44403</v>
      </c>
      <c r="Y815" t="s">
        <v>63</v>
      </c>
      <c r="Z815">
        <v>416</v>
      </c>
      <c r="AA815">
        <v>16</v>
      </c>
      <c r="AB815">
        <v>64</v>
      </c>
      <c r="AC815">
        <v>0</v>
      </c>
      <c r="AD815">
        <v>480</v>
      </c>
      <c r="AE815">
        <v>1558.5</v>
      </c>
      <c r="AF815">
        <v>1636</v>
      </c>
      <c r="AG815" t="s">
        <v>1556</v>
      </c>
      <c r="AH815" t="s">
        <v>65</v>
      </c>
      <c r="AI815" t="s">
        <v>65</v>
      </c>
      <c r="AJ815" t="s">
        <v>66</v>
      </c>
      <c r="AK815" t="s">
        <v>66</v>
      </c>
      <c r="AL815" t="s">
        <v>66</v>
      </c>
      <c r="AM815" s="2" t="str">
        <f>HYPERLINK("https://transparencia.cidesi.mx/comprobantes/2021/CQ2100548 /C2H_471.pdf")</f>
        <v>https://transparencia.cidesi.mx/comprobantes/2021/CQ2100548 /C2H_471.pdf</v>
      </c>
      <c r="AN815" t="str">
        <f>HYPERLINK("https://transparencia.cidesi.mx/comprobantes/2021/CQ2100548 /C2H_471.pdf")</f>
        <v>https://transparencia.cidesi.mx/comprobantes/2021/CQ2100548 /C2H_471.pdf</v>
      </c>
      <c r="AO815" t="str">
        <f>HYPERLINK("https://transparencia.cidesi.mx/comprobantes/2021/CQ2100548 /C2H_471.xml")</f>
        <v>https://transparencia.cidesi.mx/comprobantes/2021/CQ2100548 /C2H_471.xml</v>
      </c>
      <c r="AP815" t="s">
        <v>1554</v>
      </c>
      <c r="AQ815" t="s">
        <v>1555</v>
      </c>
      <c r="AR815" t="s">
        <v>891</v>
      </c>
      <c r="AS815" t="s">
        <v>1543</v>
      </c>
      <c r="AT815" s="1">
        <v>44405</v>
      </c>
      <c r="AU815" s="1">
        <v>44424</v>
      </c>
    </row>
    <row r="816" spans="1:47" x14ac:dyDescent="0.3">
      <c r="A816" t="s">
        <v>881</v>
      </c>
      <c r="B816" t="s">
        <v>224</v>
      </c>
      <c r="C816" t="s">
        <v>225</v>
      </c>
      <c r="D816">
        <v>9016</v>
      </c>
      <c r="E816" t="s">
        <v>1535</v>
      </c>
      <c r="F816" t="s">
        <v>1536</v>
      </c>
      <c r="G816" t="s">
        <v>724</v>
      </c>
      <c r="H816" t="s">
        <v>1552</v>
      </c>
      <c r="I816" t="s">
        <v>54</v>
      </c>
      <c r="J816" t="s">
        <v>1538</v>
      </c>
      <c r="K816" t="s">
        <v>56</v>
      </c>
      <c r="L816">
        <v>0</v>
      </c>
      <c r="M816" t="s">
        <v>73</v>
      </c>
      <c r="N816">
        <v>0</v>
      </c>
      <c r="O816" t="s">
        <v>58</v>
      </c>
      <c r="P816" t="s">
        <v>59</v>
      </c>
      <c r="Q816" t="s">
        <v>216</v>
      </c>
      <c r="R816" t="s">
        <v>1538</v>
      </c>
      <c r="S816" s="1">
        <v>44399</v>
      </c>
      <c r="T816" s="1">
        <v>44400</v>
      </c>
      <c r="U816">
        <v>37501</v>
      </c>
      <c r="V816" t="s">
        <v>61</v>
      </c>
      <c r="W816" t="s">
        <v>1553</v>
      </c>
      <c r="X816" s="1">
        <v>44403</v>
      </c>
      <c r="Y816" t="s">
        <v>63</v>
      </c>
      <c r="Z816">
        <v>79.97</v>
      </c>
      <c r="AA816">
        <v>16</v>
      </c>
      <c r="AB816">
        <v>3.03</v>
      </c>
      <c r="AC816">
        <v>0</v>
      </c>
      <c r="AD816">
        <v>83</v>
      </c>
      <c r="AE816">
        <v>1558.5</v>
      </c>
      <c r="AF816">
        <v>1636</v>
      </c>
      <c r="AG816" t="s">
        <v>1540</v>
      </c>
      <c r="AH816" t="s">
        <v>65</v>
      </c>
      <c r="AI816" t="s">
        <v>65</v>
      </c>
      <c r="AJ816" t="s">
        <v>66</v>
      </c>
      <c r="AK816" t="s">
        <v>66</v>
      </c>
      <c r="AL816" t="s">
        <v>66</v>
      </c>
      <c r="AM816" s="2" t="str">
        <f>HYPERLINK("https://transparencia.cidesi.mx/comprobantes/2021/CQ2100548 /C3FACTURA_1627132066223_338140923.pdf")</f>
        <v>https://transparencia.cidesi.mx/comprobantes/2021/CQ2100548 /C3FACTURA_1627132066223_338140923.pdf</v>
      </c>
      <c r="AN816" t="str">
        <f>HYPERLINK("https://transparencia.cidesi.mx/comprobantes/2021/CQ2100548 /C3FACTURA_1627132066223_338140923.pdf")</f>
        <v>https://transparencia.cidesi.mx/comprobantes/2021/CQ2100548 /C3FACTURA_1627132066223_338140923.pdf</v>
      </c>
      <c r="AO816" t="str">
        <f>HYPERLINK("https://transparencia.cidesi.mx/comprobantes/2021/CQ2100548 /C3FACTURA_1627132066223_338140923.xml")</f>
        <v>https://transparencia.cidesi.mx/comprobantes/2021/CQ2100548 /C3FACTURA_1627132066223_338140923.xml</v>
      </c>
      <c r="AP816" t="s">
        <v>1554</v>
      </c>
      <c r="AQ816" t="s">
        <v>1555</v>
      </c>
      <c r="AR816" t="s">
        <v>891</v>
      </c>
      <c r="AS816" t="s">
        <v>1543</v>
      </c>
      <c r="AT816" s="1">
        <v>44405</v>
      </c>
      <c r="AU816" s="1">
        <v>44424</v>
      </c>
    </row>
    <row r="817" spans="1:47" x14ac:dyDescent="0.3">
      <c r="A817" t="s">
        <v>881</v>
      </c>
      <c r="B817" t="s">
        <v>224</v>
      </c>
      <c r="C817" t="s">
        <v>225</v>
      </c>
      <c r="D817">
        <v>9016</v>
      </c>
      <c r="E817" t="s">
        <v>1535</v>
      </c>
      <c r="F817" t="s">
        <v>1536</v>
      </c>
      <c r="G817" t="s">
        <v>724</v>
      </c>
      <c r="H817" t="s">
        <v>1552</v>
      </c>
      <c r="I817" t="s">
        <v>54</v>
      </c>
      <c r="J817" t="s">
        <v>1538</v>
      </c>
      <c r="K817" t="s">
        <v>56</v>
      </c>
      <c r="L817">
        <v>0</v>
      </c>
      <c r="M817" t="s">
        <v>73</v>
      </c>
      <c r="N817">
        <v>0</v>
      </c>
      <c r="O817" t="s">
        <v>58</v>
      </c>
      <c r="P817" t="s">
        <v>59</v>
      </c>
      <c r="Q817" t="s">
        <v>216</v>
      </c>
      <c r="R817" t="s">
        <v>1538</v>
      </c>
      <c r="S817" s="1">
        <v>44399</v>
      </c>
      <c r="T817" s="1">
        <v>44400</v>
      </c>
      <c r="U817">
        <v>37501</v>
      </c>
      <c r="V817" t="s">
        <v>61</v>
      </c>
      <c r="W817" t="s">
        <v>1553</v>
      </c>
      <c r="X817" s="1">
        <v>44403</v>
      </c>
      <c r="Y817" t="s">
        <v>63</v>
      </c>
      <c r="Z817">
        <v>305.17</v>
      </c>
      <c r="AA817">
        <v>16</v>
      </c>
      <c r="AB817">
        <v>48.83</v>
      </c>
      <c r="AC817">
        <v>36</v>
      </c>
      <c r="AD817">
        <v>390</v>
      </c>
      <c r="AE817">
        <v>1558.5</v>
      </c>
      <c r="AF817">
        <v>1636</v>
      </c>
      <c r="AG817" t="s">
        <v>1540</v>
      </c>
      <c r="AH817" t="s">
        <v>65</v>
      </c>
      <c r="AI817" t="s">
        <v>65</v>
      </c>
      <c r="AJ817" t="s">
        <v>66</v>
      </c>
      <c r="AK817" t="s">
        <v>66</v>
      </c>
      <c r="AL817" t="s">
        <v>66</v>
      </c>
      <c r="AM817" s="2" t="str">
        <f>HYPERLINK("https://transparencia.cidesi.mx/comprobantes/2021/CQ2100548 /C4CID840309UG7F0000018931.pdf")</f>
        <v>https://transparencia.cidesi.mx/comprobantes/2021/CQ2100548 /C4CID840309UG7F0000018931.pdf</v>
      </c>
      <c r="AN817" t="str">
        <f>HYPERLINK("https://transparencia.cidesi.mx/comprobantes/2021/CQ2100548 /C4CID840309UG7F0000018931.pdf")</f>
        <v>https://transparencia.cidesi.mx/comprobantes/2021/CQ2100548 /C4CID840309UG7F0000018931.pdf</v>
      </c>
      <c r="AO817" t="str">
        <f>HYPERLINK("https://transparencia.cidesi.mx/comprobantes/2021/CQ2100548 /C4CID840309UG7F0000018931.xml")</f>
        <v>https://transparencia.cidesi.mx/comprobantes/2021/CQ2100548 /C4CID840309UG7F0000018931.xml</v>
      </c>
      <c r="AP817" t="s">
        <v>1554</v>
      </c>
      <c r="AQ817" t="s">
        <v>1555</v>
      </c>
      <c r="AR817" t="s">
        <v>891</v>
      </c>
      <c r="AS817" t="s">
        <v>1543</v>
      </c>
      <c r="AT817" s="1">
        <v>44405</v>
      </c>
      <c r="AU817" s="1">
        <v>44424</v>
      </c>
    </row>
    <row r="818" spans="1:47" x14ac:dyDescent="0.3">
      <c r="A818" t="s">
        <v>881</v>
      </c>
      <c r="B818" t="s">
        <v>224</v>
      </c>
      <c r="C818" t="s">
        <v>225</v>
      </c>
      <c r="D818">
        <v>9016</v>
      </c>
      <c r="E818" t="s">
        <v>1535</v>
      </c>
      <c r="F818" t="s">
        <v>1536</v>
      </c>
      <c r="G818" t="s">
        <v>724</v>
      </c>
      <c r="H818" t="s">
        <v>1552</v>
      </c>
      <c r="I818" t="s">
        <v>54</v>
      </c>
      <c r="J818" t="s">
        <v>1538</v>
      </c>
      <c r="K818" t="s">
        <v>56</v>
      </c>
      <c r="L818">
        <v>0</v>
      </c>
      <c r="M818" t="s">
        <v>73</v>
      </c>
      <c r="N818">
        <v>0</v>
      </c>
      <c r="O818" t="s">
        <v>58</v>
      </c>
      <c r="P818" t="s">
        <v>59</v>
      </c>
      <c r="Q818" t="s">
        <v>216</v>
      </c>
      <c r="R818" t="s">
        <v>1538</v>
      </c>
      <c r="S818" s="1">
        <v>44399</v>
      </c>
      <c r="T818" s="1">
        <v>44400</v>
      </c>
      <c r="U818">
        <v>37501</v>
      </c>
      <c r="V818" t="s">
        <v>61</v>
      </c>
      <c r="W818" t="s">
        <v>1553</v>
      </c>
      <c r="X818" s="1">
        <v>44403</v>
      </c>
      <c r="Y818" t="s">
        <v>63</v>
      </c>
      <c r="Z818">
        <v>427.59</v>
      </c>
      <c r="AA818">
        <v>16</v>
      </c>
      <c r="AB818">
        <v>68.41</v>
      </c>
      <c r="AC818">
        <v>50</v>
      </c>
      <c r="AD818">
        <v>546</v>
      </c>
      <c r="AE818">
        <v>1558.5</v>
      </c>
      <c r="AF818">
        <v>1636</v>
      </c>
      <c r="AG818" t="s">
        <v>1540</v>
      </c>
      <c r="AH818" t="s">
        <v>65</v>
      </c>
      <c r="AI818" t="s">
        <v>65</v>
      </c>
      <c r="AJ818" t="s">
        <v>66</v>
      </c>
      <c r="AK818" t="s">
        <v>66</v>
      </c>
      <c r="AL818" t="s">
        <v>66</v>
      </c>
      <c r="AM818" s="2" t="str">
        <f>HYPERLINK("https://transparencia.cidesi.mx/comprobantes/2021/CQ2100548 /C5TAAC5505297IA_Factura__16526_A3AD32BC-602C-439C-8A6F-8F7DB7AE4AEB.pdf")</f>
        <v>https://transparencia.cidesi.mx/comprobantes/2021/CQ2100548 /C5TAAC5505297IA_Factura__16526_A3AD32BC-602C-439C-8A6F-8F7DB7AE4AEB.pdf</v>
      </c>
      <c r="AN818" t="str">
        <f>HYPERLINK("https://transparencia.cidesi.mx/comprobantes/2021/CQ2100548 /C5TAAC5505297IA_Factura__16526_A3AD32BC-602C-439C-8A6F-8F7DB7AE4AEB.pdf")</f>
        <v>https://transparencia.cidesi.mx/comprobantes/2021/CQ2100548 /C5TAAC5505297IA_Factura__16526_A3AD32BC-602C-439C-8A6F-8F7DB7AE4AEB.pdf</v>
      </c>
      <c r="AO818" t="str">
        <f>HYPERLINK("https://transparencia.cidesi.mx/comprobantes/2021/CQ2100548 /C5TAAC5505297IA_Factura__16526_A3AD32BC-602C-439C-8A6F-8F7DB7AE4AEB.xml")</f>
        <v>https://transparencia.cidesi.mx/comprobantes/2021/CQ2100548 /C5TAAC5505297IA_Factura__16526_A3AD32BC-602C-439C-8A6F-8F7DB7AE4AEB.xml</v>
      </c>
      <c r="AP818" t="s">
        <v>1554</v>
      </c>
      <c r="AQ818" t="s">
        <v>1555</v>
      </c>
      <c r="AR818" t="s">
        <v>891</v>
      </c>
      <c r="AS818" t="s">
        <v>1543</v>
      </c>
      <c r="AT818" s="1">
        <v>44405</v>
      </c>
      <c r="AU818" s="1">
        <v>44424</v>
      </c>
    </row>
    <row r="819" spans="1:47" x14ac:dyDescent="0.3">
      <c r="A819" t="s">
        <v>881</v>
      </c>
      <c r="B819" t="s">
        <v>224</v>
      </c>
      <c r="C819" t="s">
        <v>225</v>
      </c>
      <c r="D819">
        <v>9016</v>
      </c>
      <c r="E819" t="s">
        <v>1535</v>
      </c>
      <c r="F819" t="s">
        <v>1536</v>
      </c>
      <c r="G819" t="s">
        <v>724</v>
      </c>
      <c r="H819" t="s">
        <v>1557</v>
      </c>
      <c r="I819" t="s">
        <v>54</v>
      </c>
      <c r="J819" t="s">
        <v>1558</v>
      </c>
      <c r="K819" t="s">
        <v>56</v>
      </c>
      <c r="L819">
        <v>0</v>
      </c>
      <c r="M819" t="s">
        <v>73</v>
      </c>
      <c r="N819">
        <v>0</v>
      </c>
      <c r="O819" t="s">
        <v>58</v>
      </c>
      <c r="P819" t="s">
        <v>59</v>
      </c>
      <c r="Q819" t="s">
        <v>421</v>
      </c>
      <c r="R819" t="s">
        <v>1558</v>
      </c>
      <c r="S819" s="1">
        <v>44410</v>
      </c>
      <c r="T819" s="1">
        <v>44411</v>
      </c>
      <c r="U819">
        <v>37501</v>
      </c>
      <c r="V819" t="s">
        <v>61</v>
      </c>
      <c r="W819" t="s">
        <v>1559</v>
      </c>
      <c r="X819" s="1">
        <v>44412</v>
      </c>
      <c r="Y819" t="s">
        <v>63</v>
      </c>
      <c r="Z819">
        <v>89.84</v>
      </c>
      <c r="AA819">
        <v>16</v>
      </c>
      <c r="AB819">
        <v>1.66</v>
      </c>
      <c r="AC819">
        <v>0</v>
      </c>
      <c r="AD819">
        <v>91.5</v>
      </c>
      <c r="AE819">
        <v>1610.8</v>
      </c>
      <c r="AF819">
        <v>1636</v>
      </c>
      <c r="AG819" t="s">
        <v>1540</v>
      </c>
      <c r="AH819" t="s">
        <v>65</v>
      </c>
      <c r="AI819" t="s">
        <v>65</v>
      </c>
      <c r="AJ819" t="s">
        <v>66</v>
      </c>
      <c r="AK819" t="s">
        <v>66</v>
      </c>
      <c r="AL819" t="s">
        <v>66</v>
      </c>
      <c r="AM819" s="2" t="str">
        <f>HYPERLINK("https://transparencia.cidesi.mx/comprobantes/2021/CQ2100603 /C1FACTURA_1628085789825_339939791.pdf")</f>
        <v>https://transparencia.cidesi.mx/comprobantes/2021/CQ2100603 /C1FACTURA_1628085789825_339939791.pdf</v>
      </c>
      <c r="AN819" t="str">
        <f>HYPERLINK("https://transparencia.cidesi.mx/comprobantes/2021/CQ2100603 /C1FACTURA_1628085789825_339939791.pdf")</f>
        <v>https://transparencia.cidesi.mx/comprobantes/2021/CQ2100603 /C1FACTURA_1628085789825_339939791.pdf</v>
      </c>
      <c r="AO819" t="str">
        <f>HYPERLINK("https://transparencia.cidesi.mx/comprobantes/2021/CQ2100603 /C1FACTURA_1628085789825_339939791.xml")</f>
        <v>https://transparencia.cidesi.mx/comprobantes/2021/CQ2100603 /C1FACTURA_1628085789825_339939791.xml</v>
      </c>
      <c r="AP819" t="s">
        <v>1560</v>
      </c>
      <c r="AQ819" t="s">
        <v>1561</v>
      </c>
      <c r="AR819" t="s">
        <v>891</v>
      </c>
      <c r="AS819" t="s">
        <v>1543</v>
      </c>
      <c r="AT819" s="1">
        <v>44417</v>
      </c>
      <c r="AU819" s="1">
        <v>44424</v>
      </c>
    </row>
    <row r="820" spans="1:47" x14ac:dyDescent="0.3">
      <c r="A820" t="s">
        <v>881</v>
      </c>
      <c r="B820" t="s">
        <v>224</v>
      </c>
      <c r="C820" t="s">
        <v>225</v>
      </c>
      <c r="D820">
        <v>9016</v>
      </c>
      <c r="E820" t="s">
        <v>1535</v>
      </c>
      <c r="F820" t="s">
        <v>1536</v>
      </c>
      <c r="G820" t="s">
        <v>724</v>
      </c>
      <c r="H820" t="s">
        <v>1557</v>
      </c>
      <c r="I820" t="s">
        <v>54</v>
      </c>
      <c r="J820" t="s">
        <v>1558</v>
      </c>
      <c r="K820" t="s">
        <v>56</v>
      </c>
      <c r="L820">
        <v>0</v>
      </c>
      <c r="M820" t="s">
        <v>73</v>
      </c>
      <c r="N820">
        <v>0</v>
      </c>
      <c r="O820" t="s">
        <v>58</v>
      </c>
      <c r="P820" t="s">
        <v>59</v>
      </c>
      <c r="Q820" t="s">
        <v>421</v>
      </c>
      <c r="R820" t="s">
        <v>1558</v>
      </c>
      <c r="S820" s="1">
        <v>44410</v>
      </c>
      <c r="T820" s="1">
        <v>44411</v>
      </c>
      <c r="U820">
        <v>37501</v>
      </c>
      <c r="V820" t="s">
        <v>104</v>
      </c>
      <c r="W820" t="s">
        <v>1559</v>
      </c>
      <c r="X820" s="1">
        <v>44412</v>
      </c>
      <c r="Y820" t="s">
        <v>63</v>
      </c>
      <c r="Z820">
        <v>1009.4</v>
      </c>
      <c r="AA820">
        <v>16</v>
      </c>
      <c r="AB820">
        <v>156.80000000000001</v>
      </c>
      <c r="AC820">
        <v>0</v>
      </c>
      <c r="AD820">
        <v>1166.2</v>
      </c>
      <c r="AE820">
        <v>1610.8</v>
      </c>
      <c r="AF820">
        <v>1636</v>
      </c>
      <c r="AG820" t="s">
        <v>1556</v>
      </c>
      <c r="AH820" t="s">
        <v>65</v>
      </c>
      <c r="AI820" t="s">
        <v>65</v>
      </c>
      <c r="AJ820" t="s">
        <v>66</v>
      </c>
      <c r="AK820" t="s">
        <v>66</v>
      </c>
      <c r="AL820" t="s">
        <v>66</v>
      </c>
      <c r="AM820" s="2" t="str">
        <f>HYPERLINK("https://transparencia.cidesi.mx/comprobantes/2021/CQ2100603 /C2CID840309UG7_38279_A_92BE19A7-84EF-42F3-A618-038D1DEA09BB.pdf")</f>
        <v>https://transparencia.cidesi.mx/comprobantes/2021/CQ2100603 /C2CID840309UG7_38279_A_92BE19A7-84EF-42F3-A618-038D1DEA09BB.pdf</v>
      </c>
      <c r="AN820" t="str">
        <f>HYPERLINK("https://transparencia.cidesi.mx/comprobantes/2021/CQ2100603 /C2CID840309UG7_38279_A_92BE19A7-84EF-42F3-A618-038D1DEA09BB.pdf")</f>
        <v>https://transparencia.cidesi.mx/comprobantes/2021/CQ2100603 /C2CID840309UG7_38279_A_92BE19A7-84EF-42F3-A618-038D1DEA09BB.pdf</v>
      </c>
      <c r="AO820" t="str">
        <f>HYPERLINK("https://transparencia.cidesi.mx/comprobantes/2021/CQ2100603 /C2CID840309UG7_38279_A_92BE19A7-84EF-42F3-A618-038D1DEA09BB.xml")</f>
        <v>https://transparencia.cidesi.mx/comprobantes/2021/CQ2100603 /C2CID840309UG7_38279_A_92BE19A7-84EF-42F3-A618-038D1DEA09BB.xml</v>
      </c>
      <c r="AP820" t="s">
        <v>1560</v>
      </c>
      <c r="AQ820" t="s">
        <v>1561</v>
      </c>
      <c r="AR820" t="s">
        <v>891</v>
      </c>
      <c r="AS820" t="s">
        <v>1543</v>
      </c>
      <c r="AT820" s="1">
        <v>44417</v>
      </c>
      <c r="AU820" s="1">
        <v>44424</v>
      </c>
    </row>
    <row r="821" spans="1:47" x14ac:dyDescent="0.3">
      <c r="A821" t="s">
        <v>881</v>
      </c>
      <c r="B821" t="s">
        <v>224</v>
      </c>
      <c r="C821" t="s">
        <v>225</v>
      </c>
      <c r="D821">
        <v>9016</v>
      </c>
      <c r="E821" t="s">
        <v>1535</v>
      </c>
      <c r="F821" t="s">
        <v>1536</v>
      </c>
      <c r="G821" t="s">
        <v>724</v>
      </c>
      <c r="H821" t="s">
        <v>1557</v>
      </c>
      <c r="I821" t="s">
        <v>54</v>
      </c>
      <c r="J821" t="s">
        <v>1558</v>
      </c>
      <c r="K821" t="s">
        <v>56</v>
      </c>
      <c r="L821">
        <v>0</v>
      </c>
      <c r="M821" t="s">
        <v>73</v>
      </c>
      <c r="N821">
        <v>0</v>
      </c>
      <c r="O821" t="s">
        <v>58</v>
      </c>
      <c r="P821" t="s">
        <v>59</v>
      </c>
      <c r="Q821" t="s">
        <v>421</v>
      </c>
      <c r="R821" t="s">
        <v>1558</v>
      </c>
      <c r="S821" s="1">
        <v>44410</v>
      </c>
      <c r="T821" s="1">
        <v>44411</v>
      </c>
      <c r="U821">
        <v>37501</v>
      </c>
      <c r="V821" t="s">
        <v>61</v>
      </c>
      <c r="W821" t="s">
        <v>1559</v>
      </c>
      <c r="X821" s="1">
        <v>44412</v>
      </c>
      <c r="Y821" t="s">
        <v>63</v>
      </c>
      <c r="Z821">
        <v>276.72000000000003</v>
      </c>
      <c r="AA821">
        <v>16</v>
      </c>
      <c r="AB821">
        <v>44.28</v>
      </c>
      <c r="AC821">
        <v>32.1</v>
      </c>
      <c r="AD821">
        <v>353.1</v>
      </c>
      <c r="AE821">
        <v>1610.8</v>
      </c>
      <c r="AF821">
        <v>1636</v>
      </c>
      <c r="AG821" t="s">
        <v>1540</v>
      </c>
      <c r="AH821" t="s">
        <v>65</v>
      </c>
      <c r="AI821" t="s">
        <v>65</v>
      </c>
      <c r="AJ821" t="s">
        <v>66</v>
      </c>
      <c r="AK821" t="s">
        <v>66</v>
      </c>
      <c r="AL821" t="s">
        <v>66</v>
      </c>
      <c r="AM821" s="2" t="str">
        <f>HYPERLINK("https://transparencia.cidesi.mx/comprobantes/2021/CQ2100603 /C3CGDSA89897_NDG071019LH4.pdf")</f>
        <v>https://transparencia.cidesi.mx/comprobantes/2021/CQ2100603 /C3CGDSA89897_NDG071019LH4.pdf</v>
      </c>
      <c r="AN821" t="str">
        <f>HYPERLINK("https://transparencia.cidesi.mx/comprobantes/2021/CQ2100603 /C3CGDSA89897_NDG071019LH4.pdf")</f>
        <v>https://transparencia.cidesi.mx/comprobantes/2021/CQ2100603 /C3CGDSA89897_NDG071019LH4.pdf</v>
      </c>
      <c r="AO821" t="str">
        <f>HYPERLINK("https://transparencia.cidesi.mx/comprobantes/2021/CQ2100603 /C3CGDSA89897_NDG071019LH4.xml")</f>
        <v>https://transparencia.cidesi.mx/comprobantes/2021/CQ2100603 /C3CGDSA89897_NDG071019LH4.xml</v>
      </c>
      <c r="AP821" t="s">
        <v>1560</v>
      </c>
      <c r="AQ821" t="s">
        <v>1561</v>
      </c>
      <c r="AR821" t="s">
        <v>891</v>
      </c>
      <c r="AS821" t="s">
        <v>1543</v>
      </c>
      <c r="AT821" s="1">
        <v>44417</v>
      </c>
      <c r="AU821" s="1">
        <v>44424</v>
      </c>
    </row>
    <row r="822" spans="1:47" x14ac:dyDescent="0.3">
      <c r="A822" t="s">
        <v>881</v>
      </c>
      <c r="B822" t="s">
        <v>224</v>
      </c>
      <c r="C822" t="s">
        <v>225</v>
      </c>
      <c r="D822">
        <v>9016</v>
      </c>
      <c r="E822" t="s">
        <v>1535</v>
      </c>
      <c r="F822" t="s">
        <v>1536</v>
      </c>
      <c r="G822" t="s">
        <v>724</v>
      </c>
      <c r="H822" t="s">
        <v>1562</v>
      </c>
      <c r="I822" t="s">
        <v>54</v>
      </c>
      <c r="J822" t="s">
        <v>1563</v>
      </c>
      <c r="K822" t="s">
        <v>56</v>
      </c>
      <c r="L822">
        <v>0</v>
      </c>
      <c r="M822" t="s">
        <v>73</v>
      </c>
      <c r="N822">
        <v>0</v>
      </c>
      <c r="O822" t="s">
        <v>58</v>
      </c>
      <c r="P822" t="s">
        <v>59</v>
      </c>
      <c r="Q822" t="s">
        <v>216</v>
      </c>
      <c r="R822" t="s">
        <v>1563</v>
      </c>
      <c r="S822" s="1">
        <v>44445</v>
      </c>
      <c r="T822" s="1">
        <v>44445</v>
      </c>
      <c r="U822">
        <v>37501</v>
      </c>
      <c r="V822" t="s">
        <v>61</v>
      </c>
      <c r="W822" t="s">
        <v>1564</v>
      </c>
      <c r="X822" s="1">
        <v>44446</v>
      </c>
      <c r="Y822" t="s">
        <v>63</v>
      </c>
      <c r="Z822">
        <v>262.94</v>
      </c>
      <c r="AA822">
        <v>16</v>
      </c>
      <c r="AB822">
        <v>42.07</v>
      </c>
      <c r="AC822">
        <v>30.5</v>
      </c>
      <c r="AD822">
        <v>335.51</v>
      </c>
      <c r="AE822">
        <v>535.41</v>
      </c>
      <c r="AF822">
        <v>545</v>
      </c>
      <c r="AG822" t="s">
        <v>1540</v>
      </c>
      <c r="AH822" t="s">
        <v>65</v>
      </c>
      <c r="AI822" t="s">
        <v>65</v>
      </c>
      <c r="AJ822" t="s">
        <v>66</v>
      </c>
      <c r="AK822" t="s">
        <v>66</v>
      </c>
      <c r="AL822" t="s">
        <v>66</v>
      </c>
      <c r="AM822" s="2" t="str">
        <f>HYPERLINK("https://transparencia.cidesi.mx/comprobantes/2021/CQ2100740 /C141E425C2-1399-4FDC-BA7B-687206EA3F54.pdf")</f>
        <v>https://transparencia.cidesi.mx/comprobantes/2021/CQ2100740 /C141E425C2-1399-4FDC-BA7B-687206EA3F54.pdf</v>
      </c>
      <c r="AN822" t="str">
        <f>HYPERLINK("https://transparencia.cidesi.mx/comprobantes/2021/CQ2100740 /C141E425C2-1399-4FDC-BA7B-687206EA3F54.pdf")</f>
        <v>https://transparencia.cidesi.mx/comprobantes/2021/CQ2100740 /C141E425C2-1399-4FDC-BA7B-687206EA3F54.pdf</v>
      </c>
      <c r="AO822" t="str">
        <f>HYPERLINK("https://transparencia.cidesi.mx/comprobantes/2021/CQ2100740 /C141E425C2-1399-4FDC-BA7B-687206EA3F54.xml")</f>
        <v>https://transparencia.cidesi.mx/comprobantes/2021/CQ2100740 /C141E425C2-1399-4FDC-BA7B-687206EA3F54.xml</v>
      </c>
      <c r="AP822" t="s">
        <v>1565</v>
      </c>
      <c r="AQ822" t="s">
        <v>1566</v>
      </c>
      <c r="AR822" t="s">
        <v>891</v>
      </c>
      <c r="AS822" t="s">
        <v>1543</v>
      </c>
      <c r="AT822" s="1">
        <v>44447</v>
      </c>
      <c r="AU822" s="1">
        <v>44453</v>
      </c>
    </row>
    <row r="823" spans="1:47" x14ac:dyDescent="0.3">
      <c r="A823" t="s">
        <v>881</v>
      </c>
      <c r="B823" t="s">
        <v>224</v>
      </c>
      <c r="C823" t="s">
        <v>225</v>
      </c>
      <c r="D823">
        <v>9016</v>
      </c>
      <c r="E823" t="s">
        <v>1535</v>
      </c>
      <c r="F823" t="s">
        <v>1536</v>
      </c>
      <c r="G823" t="s">
        <v>724</v>
      </c>
      <c r="H823" t="s">
        <v>1562</v>
      </c>
      <c r="I823" t="s">
        <v>54</v>
      </c>
      <c r="J823" t="s">
        <v>1563</v>
      </c>
      <c r="K823" t="s">
        <v>56</v>
      </c>
      <c r="L823">
        <v>0</v>
      </c>
      <c r="M823" t="s">
        <v>73</v>
      </c>
      <c r="N823">
        <v>0</v>
      </c>
      <c r="O823" t="s">
        <v>58</v>
      </c>
      <c r="P823" t="s">
        <v>59</v>
      </c>
      <c r="Q823" t="s">
        <v>216</v>
      </c>
      <c r="R823" t="s">
        <v>1563</v>
      </c>
      <c r="S823" s="1">
        <v>44445</v>
      </c>
      <c r="T823" s="1">
        <v>44445</v>
      </c>
      <c r="U823">
        <v>37501</v>
      </c>
      <c r="V823" t="s">
        <v>61</v>
      </c>
      <c r="W823" t="s">
        <v>1564</v>
      </c>
      <c r="X823" s="1">
        <v>44446</v>
      </c>
      <c r="Y823" t="s">
        <v>63</v>
      </c>
      <c r="Z823">
        <v>194.19</v>
      </c>
      <c r="AA823">
        <v>16</v>
      </c>
      <c r="AB823">
        <v>5.71</v>
      </c>
      <c r="AC823">
        <v>0</v>
      </c>
      <c r="AD823">
        <v>199.9</v>
      </c>
      <c r="AE823">
        <v>535.41</v>
      </c>
      <c r="AF823">
        <v>545</v>
      </c>
      <c r="AG823" t="s">
        <v>1540</v>
      </c>
      <c r="AH823" t="s">
        <v>65</v>
      </c>
      <c r="AI823" t="s">
        <v>65</v>
      </c>
      <c r="AJ823" t="s">
        <v>66</v>
      </c>
      <c r="AK823" t="s">
        <v>66</v>
      </c>
      <c r="AL823" t="s">
        <v>66</v>
      </c>
      <c r="AM823" s="2" t="str">
        <f>HYPERLINK("https://transparencia.cidesi.mx/comprobantes/2021/CQ2100740 /C2FACTURA_1631019043748_344046267.pdf")</f>
        <v>https://transparencia.cidesi.mx/comprobantes/2021/CQ2100740 /C2FACTURA_1631019043748_344046267.pdf</v>
      </c>
      <c r="AN823" t="str">
        <f>HYPERLINK("https://transparencia.cidesi.mx/comprobantes/2021/CQ2100740 /C2FACTURA_1631019043748_344046267.pdf")</f>
        <v>https://transparencia.cidesi.mx/comprobantes/2021/CQ2100740 /C2FACTURA_1631019043748_344046267.pdf</v>
      </c>
      <c r="AO823" t="str">
        <f>HYPERLINK("https://transparencia.cidesi.mx/comprobantes/2021/CQ2100740 /C2FACTURA_1631019043748_344046267.xml")</f>
        <v>https://transparencia.cidesi.mx/comprobantes/2021/CQ2100740 /C2FACTURA_1631019043748_344046267.xml</v>
      </c>
      <c r="AP823" t="s">
        <v>1565</v>
      </c>
      <c r="AQ823" t="s">
        <v>1566</v>
      </c>
      <c r="AR823" t="s">
        <v>891</v>
      </c>
      <c r="AS823" t="s">
        <v>1543</v>
      </c>
      <c r="AT823" s="1">
        <v>44447</v>
      </c>
      <c r="AU823" s="1">
        <v>44453</v>
      </c>
    </row>
    <row r="824" spans="1:47" x14ac:dyDescent="0.3">
      <c r="A824" t="s">
        <v>881</v>
      </c>
      <c r="B824" t="s">
        <v>224</v>
      </c>
      <c r="C824" t="s">
        <v>225</v>
      </c>
      <c r="D824">
        <v>9016</v>
      </c>
      <c r="E824" t="s">
        <v>1535</v>
      </c>
      <c r="F824" t="s">
        <v>1536</v>
      </c>
      <c r="G824" t="s">
        <v>724</v>
      </c>
      <c r="H824" t="s">
        <v>1567</v>
      </c>
      <c r="I824" t="s">
        <v>54</v>
      </c>
      <c r="J824" t="s">
        <v>1568</v>
      </c>
      <c r="K824" t="s">
        <v>56</v>
      </c>
      <c r="L824">
        <v>0</v>
      </c>
      <c r="M824" t="s">
        <v>73</v>
      </c>
      <c r="N824">
        <v>0</v>
      </c>
      <c r="O824" t="s">
        <v>58</v>
      </c>
      <c r="P824" t="s">
        <v>59</v>
      </c>
      <c r="Q824" t="s">
        <v>216</v>
      </c>
      <c r="R824" t="s">
        <v>1568</v>
      </c>
      <c r="S824" s="1">
        <v>44447</v>
      </c>
      <c r="T824" s="1">
        <v>44447</v>
      </c>
      <c r="U824">
        <v>37501</v>
      </c>
      <c r="V824" t="s">
        <v>61</v>
      </c>
      <c r="W824" t="s">
        <v>1569</v>
      </c>
      <c r="X824" s="1">
        <v>44449</v>
      </c>
      <c r="Y824" t="s">
        <v>63</v>
      </c>
      <c r="Z824">
        <v>320.69</v>
      </c>
      <c r="AA824">
        <v>16</v>
      </c>
      <c r="AB824">
        <v>51.31</v>
      </c>
      <c r="AC824">
        <v>37.200000000000003</v>
      </c>
      <c r="AD824">
        <v>409.2</v>
      </c>
      <c r="AE824">
        <v>544.20000000000005</v>
      </c>
      <c r="AF824">
        <v>545</v>
      </c>
      <c r="AG824" t="s">
        <v>1540</v>
      </c>
      <c r="AH824" t="s">
        <v>65</v>
      </c>
      <c r="AI824" t="s">
        <v>65</v>
      </c>
      <c r="AJ824" t="s">
        <v>66</v>
      </c>
      <c r="AK824" t="s">
        <v>66</v>
      </c>
      <c r="AL824" t="s">
        <v>66</v>
      </c>
      <c r="AM824" s="2" t="str">
        <f>HYPERLINK("https://transparencia.cidesi.mx/comprobantes/2021/CQ2100770 /C15E33FDA3-9AD5-4CD3-9C04-4CEC81C56F7A.pdf")</f>
        <v>https://transparencia.cidesi.mx/comprobantes/2021/CQ2100770 /C15E33FDA3-9AD5-4CD3-9C04-4CEC81C56F7A.pdf</v>
      </c>
      <c r="AN824" t="str">
        <f>HYPERLINK("https://transparencia.cidesi.mx/comprobantes/2021/CQ2100770 /C15E33FDA3-9AD5-4CD3-9C04-4CEC81C56F7A.pdf")</f>
        <v>https://transparencia.cidesi.mx/comprobantes/2021/CQ2100770 /C15E33FDA3-9AD5-4CD3-9C04-4CEC81C56F7A.pdf</v>
      </c>
      <c r="AO824" t="str">
        <f>HYPERLINK("https://transparencia.cidesi.mx/comprobantes/2021/CQ2100770 /C15E33FDA3-9AD5-4CD3-9C04-4CEC81C56F7A.xml")</f>
        <v>https://transparencia.cidesi.mx/comprobantes/2021/CQ2100770 /C15E33FDA3-9AD5-4CD3-9C04-4CEC81C56F7A.xml</v>
      </c>
      <c r="AP824" t="s">
        <v>1570</v>
      </c>
      <c r="AQ824" t="s">
        <v>1571</v>
      </c>
      <c r="AR824" t="s">
        <v>891</v>
      </c>
      <c r="AS824" t="s">
        <v>1543</v>
      </c>
      <c r="AT824" s="1">
        <v>44449</v>
      </c>
      <c r="AU824" s="1">
        <v>44453</v>
      </c>
    </row>
    <row r="825" spans="1:47" x14ac:dyDescent="0.3">
      <c r="A825" t="s">
        <v>881</v>
      </c>
      <c r="B825" t="s">
        <v>224</v>
      </c>
      <c r="C825" t="s">
        <v>225</v>
      </c>
      <c r="D825">
        <v>9016</v>
      </c>
      <c r="E825" t="s">
        <v>1535</v>
      </c>
      <c r="F825" t="s">
        <v>1536</v>
      </c>
      <c r="G825" t="s">
        <v>724</v>
      </c>
      <c r="H825" t="s">
        <v>1567</v>
      </c>
      <c r="I825" t="s">
        <v>54</v>
      </c>
      <c r="J825" t="s">
        <v>1568</v>
      </c>
      <c r="K825" t="s">
        <v>56</v>
      </c>
      <c r="L825">
        <v>0</v>
      </c>
      <c r="M825" t="s">
        <v>73</v>
      </c>
      <c r="N825">
        <v>0</v>
      </c>
      <c r="O825" t="s">
        <v>58</v>
      </c>
      <c r="P825" t="s">
        <v>59</v>
      </c>
      <c r="Q825" t="s">
        <v>216</v>
      </c>
      <c r="R825" t="s">
        <v>1568</v>
      </c>
      <c r="S825" s="1">
        <v>44447</v>
      </c>
      <c r="T825" s="1">
        <v>44447</v>
      </c>
      <c r="U825">
        <v>37501</v>
      </c>
      <c r="V825" t="s">
        <v>61</v>
      </c>
      <c r="W825" t="s">
        <v>1569</v>
      </c>
      <c r="X825" s="1">
        <v>44449</v>
      </c>
      <c r="Y825" t="s">
        <v>63</v>
      </c>
      <c r="Z825">
        <v>129.62</v>
      </c>
      <c r="AA825">
        <v>16</v>
      </c>
      <c r="AB825">
        <v>5.38</v>
      </c>
      <c r="AC825">
        <v>0</v>
      </c>
      <c r="AD825">
        <v>135</v>
      </c>
      <c r="AE825">
        <v>544.20000000000005</v>
      </c>
      <c r="AF825">
        <v>545</v>
      </c>
      <c r="AG825" t="s">
        <v>1540</v>
      </c>
      <c r="AH825" t="s">
        <v>65</v>
      </c>
      <c r="AI825" t="s">
        <v>65</v>
      </c>
      <c r="AJ825" t="s">
        <v>66</v>
      </c>
      <c r="AK825" t="s">
        <v>66</v>
      </c>
      <c r="AL825" t="s">
        <v>66</v>
      </c>
      <c r="AM825" s="2" t="str">
        <f>HYPERLINK("https://transparencia.cidesi.mx/comprobantes/2021/CQ2100770 /C2FACTURA_1631191516036_344233495.pdf")</f>
        <v>https://transparencia.cidesi.mx/comprobantes/2021/CQ2100770 /C2FACTURA_1631191516036_344233495.pdf</v>
      </c>
      <c r="AN825" t="str">
        <f>HYPERLINK("https://transparencia.cidesi.mx/comprobantes/2021/CQ2100770 /C2FACTURA_1631191516036_344233495.pdf")</f>
        <v>https://transparencia.cidesi.mx/comprobantes/2021/CQ2100770 /C2FACTURA_1631191516036_344233495.pdf</v>
      </c>
      <c r="AO825" t="str">
        <f>HYPERLINK("https://transparencia.cidesi.mx/comprobantes/2021/CQ2100770 /C2FACTURA_1631191516036_344233495.xml")</f>
        <v>https://transparencia.cidesi.mx/comprobantes/2021/CQ2100770 /C2FACTURA_1631191516036_344233495.xml</v>
      </c>
      <c r="AP825" t="s">
        <v>1570</v>
      </c>
      <c r="AQ825" t="s">
        <v>1571</v>
      </c>
      <c r="AR825" t="s">
        <v>891</v>
      </c>
      <c r="AS825" t="s">
        <v>1543</v>
      </c>
      <c r="AT825" s="1">
        <v>44449</v>
      </c>
      <c r="AU825" s="1">
        <v>44453</v>
      </c>
    </row>
    <row r="826" spans="1:47" x14ac:dyDescent="0.3">
      <c r="A826" t="s">
        <v>881</v>
      </c>
      <c r="B826" t="s">
        <v>224</v>
      </c>
      <c r="C826" t="s">
        <v>225</v>
      </c>
      <c r="D826">
        <v>9016</v>
      </c>
      <c r="E826" t="s">
        <v>1535</v>
      </c>
      <c r="F826" t="s">
        <v>1536</v>
      </c>
      <c r="G826" t="s">
        <v>724</v>
      </c>
      <c r="H826" t="s">
        <v>1572</v>
      </c>
      <c r="I826" t="s">
        <v>54</v>
      </c>
      <c r="J826" t="s">
        <v>1573</v>
      </c>
      <c r="K826" t="s">
        <v>56</v>
      </c>
      <c r="L826">
        <v>0</v>
      </c>
      <c r="M826" t="s">
        <v>73</v>
      </c>
      <c r="N826">
        <v>0</v>
      </c>
      <c r="O826" t="s">
        <v>58</v>
      </c>
      <c r="P826" t="s">
        <v>59</v>
      </c>
      <c r="Q826" t="s">
        <v>216</v>
      </c>
      <c r="R826" t="s">
        <v>1573</v>
      </c>
      <c r="S826" s="1">
        <v>44448</v>
      </c>
      <c r="T826" s="1">
        <v>44448</v>
      </c>
      <c r="U826">
        <v>37501</v>
      </c>
      <c r="V826" t="s">
        <v>61</v>
      </c>
      <c r="W826" t="s">
        <v>1574</v>
      </c>
      <c r="X826" s="1">
        <v>44449</v>
      </c>
      <c r="Y826" t="s">
        <v>63</v>
      </c>
      <c r="Z826">
        <v>322.2</v>
      </c>
      <c r="AA826">
        <v>16</v>
      </c>
      <c r="AB826">
        <v>51.55</v>
      </c>
      <c r="AC826">
        <v>37.369999999999997</v>
      </c>
      <c r="AD826">
        <v>411.12</v>
      </c>
      <c r="AE826">
        <v>539.62</v>
      </c>
      <c r="AF826">
        <v>545</v>
      </c>
      <c r="AG826" t="s">
        <v>1540</v>
      </c>
      <c r="AH826" t="s">
        <v>65</v>
      </c>
      <c r="AI826" t="s">
        <v>65</v>
      </c>
      <c r="AJ826" t="s">
        <v>66</v>
      </c>
      <c r="AK826" t="s">
        <v>66</v>
      </c>
      <c r="AL826" t="s">
        <v>66</v>
      </c>
      <c r="AM826" s="2" t="str">
        <f>HYPERLINK("https://transparencia.cidesi.mx/comprobantes/2021/CQ2100777 /C1E7092C7F-6E1B-4F53-AD97-35153AE7D266.pdf")</f>
        <v>https://transparencia.cidesi.mx/comprobantes/2021/CQ2100777 /C1E7092C7F-6E1B-4F53-AD97-35153AE7D266.pdf</v>
      </c>
      <c r="AN826" t="str">
        <f>HYPERLINK("https://transparencia.cidesi.mx/comprobantes/2021/CQ2100777 /C1E7092C7F-6E1B-4F53-AD97-35153AE7D266.pdf")</f>
        <v>https://transparencia.cidesi.mx/comprobantes/2021/CQ2100777 /C1E7092C7F-6E1B-4F53-AD97-35153AE7D266.pdf</v>
      </c>
      <c r="AO826" t="str">
        <f>HYPERLINK("https://transparencia.cidesi.mx/comprobantes/2021/CQ2100777 /C1E7092C7F-6E1B-4F53-AD97-35153AE7D266.xml")</f>
        <v>https://transparencia.cidesi.mx/comprobantes/2021/CQ2100777 /C1E7092C7F-6E1B-4F53-AD97-35153AE7D266.xml</v>
      </c>
      <c r="AP826" t="s">
        <v>1575</v>
      </c>
      <c r="AQ826" t="s">
        <v>1576</v>
      </c>
      <c r="AR826" t="s">
        <v>891</v>
      </c>
      <c r="AS826" t="s">
        <v>1543</v>
      </c>
      <c r="AT826" s="1">
        <v>44453</v>
      </c>
      <c r="AU826" s="1">
        <v>44467</v>
      </c>
    </row>
    <row r="827" spans="1:47" x14ac:dyDescent="0.3">
      <c r="A827" t="s">
        <v>881</v>
      </c>
      <c r="B827" t="s">
        <v>224</v>
      </c>
      <c r="C827" t="s">
        <v>225</v>
      </c>
      <c r="D827">
        <v>9016</v>
      </c>
      <c r="E827" t="s">
        <v>1535</v>
      </c>
      <c r="F827" t="s">
        <v>1536</v>
      </c>
      <c r="G827" t="s">
        <v>724</v>
      </c>
      <c r="H827" t="s">
        <v>1572</v>
      </c>
      <c r="I827" t="s">
        <v>54</v>
      </c>
      <c r="J827" t="s">
        <v>1573</v>
      </c>
      <c r="K827" t="s">
        <v>56</v>
      </c>
      <c r="L827">
        <v>0</v>
      </c>
      <c r="M827" t="s">
        <v>73</v>
      </c>
      <c r="N827">
        <v>0</v>
      </c>
      <c r="O827" t="s">
        <v>58</v>
      </c>
      <c r="P827" t="s">
        <v>59</v>
      </c>
      <c r="Q827" t="s">
        <v>216</v>
      </c>
      <c r="R827" t="s">
        <v>1573</v>
      </c>
      <c r="S827" s="1">
        <v>44448</v>
      </c>
      <c r="T827" s="1">
        <v>44448</v>
      </c>
      <c r="U827">
        <v>37501</v>
      </c>
      <c r="V827" t="s">
        <v>61</v>
      </c>
      <c r="W827" t="s">
        <v>1574</v>
      </c>
      <c r="X827" s="1">
        <v>44449</v>
      </c>
      <c r="Y827" t="s">
        <v>63</v>
      </c>
      <c r="Z827">
        <v>123.19</v>
      </c>
      <c r="AA827">
        <v>16</v>
      </c>
      <c r="AB827">
        <v>5.31</v>
      </c>
      <c r="AC827">
        <v>0</v>
      </c>
      <c r="AD827">
        <v>128.5</v>
      </c>
      <c r="AE827">
        <v>539.62</v>
      </c>
      <c r="AF827">
        <v>545</v>
      </c>
      <c r="AG827" t="s">
        <v>1540</v>
      </c>
      <c r="AH827" t="s">
        <v>65</v>
      </c>
      <c r="AI827" t="s">
        <v>65</v>
      </c>
      <c r="AJ827" t="s">
        <v>66</v>
      </c>
      <c r="AK827" t="s">
        <v>66</v>
      </c>
      <c r="AL827" t="s">
        <v>66</v>
      </c>
      <c r="AM827" s="2" t="str">
        <f>HYPERLINK("https://transparencia.cidesi.mx/comprobantes/2021/CQ2100777 /C2FACTURA_1631278116085_344326513.pdf")</f>
        <v>https://transparencia.cidesi.mx/comprobantes/2021/CQ2100777 /C2FACTURA_1631278116085_344326513.pdf</v>
      </c>
      <c r="AN827" t="str">
        <f>HYPERLINK("https://transparencia.cidesi.mx/comprobantes/2021/CQ2100777 /C2FACTURA_1631278116085_344326513.pdf")</f>
        <v>https://transparencia.cidesi.mx/comprobantes/2021/CQ2100777 /C2FACTURA_1631278116085_344326513.pdf</v>
      </c>
      <c r="AO827" t="str">
        <f>HYPERLINK("https://transparencia.cidesi.mx/comprobantes/2021/CQ2100777 /C2FACTURA_1631278116085_344326513.xml")</f>
        <v>https://transparencia.cidesi.mx/comprobantes/2021/CQ2100777 /C2FACTURA_1631278116085_344326513.xml</v>
      </c>
      <c r="AP827" t="s">
        <v>1575</v>
      </c>
      <c r="AQ827" t="s">
        <v>1576</v>
      </c>
      <c r="AR827" t="s">
        <v>891</v>
      </c>
      <c r="AS827" t="s">
        <v>1543</v>
      </c>
      <c r="AT827" s="1">
        <v>44453</v>
      </c>
      <c r="AU827" s="1">
        <v>44467</v>
      </c>
    </row>
    <row r="828" spans="1:47" x14ac:dyDescent="0.3">
      <c r="A828" t="s">
        <v>881</v>
      </c>
      <c r="B828" t="s">
        <v>224</v>
      </c>
      <c r="C828" t="s">
        <v>225</v>
      </c>
      <c r="D828">
        <v>9016</v>
      </c>
      <c r="E828" t="s">
        <v>1535</v>
      </c>
      <c r="F828" t="s">
        <v>1536</v>
      </c>
      <c r="G828" t="s">
        <v>724</v>
      </c>
      <c r="H828" t="s">
        <v>1577</v>
      </c>
      <c r="I828" t="s">
        <v>54</v>
      </c>
      <c r="J828" t="s">
        <v>1578</v>
      </c>
      <c r="K828" t="s">
        <v>56</v>
      </c>
      <c r="L828">
        <v>0</v>
      </c>
      <c r="M828" t="s">
        <v>73</v>
      </c>
      <c r="N828">
        <v>0</v>
      </c>
      <c r="O828" t="s">
        <v>58</v>
      </c>
      <c r="P828" t="s">
        <v>59</v>
      </c>
      <c r="Q828" t="s">
        <v>60</v>
      </c>
      <c r="R828" t="s">
        <v>1578</v>
      </c>
      <c r="S828" s="1">
        <v>44456</v>
      </c>
      <c r="T828" s="1">
        <v>44456</v>
      </c>
      <c r="U828">
        <v>37501</v>
      </c>
      <c r="V828" t="s">
        <v>61</v>
      </c>
      <c r="W828" t="s">
        <v>1579</v>
      </c>
      <c r="X828" s="1">
        <v>44459</v>
      </c>
      <c r="Y828" t="s">
        <v>63</v>
      </c>
      <c r="Z828">
        <v>97.5</v>
      </c>
      <c r="AA828">
        <v>0</v>
      </c>
      <c r="AB828">
        <v>0</v>
      </c>
      <c r="AC828">
        <v>0</v>
      </c>
      <c r="AD828">
        <v>97.5</v>
      </c>
      <c r="AE828">
        <v>509.5</v>
      </c>
      <c r="AF828">
        <v>545</v>
      </c>
      <c r="AG828" t="s">
        <v>1540</v>
      </c>
      <c r="AH828" t="s">
        <v>65</v>
      </c>
      <c r="AI828" t="s">
        <v>65</v>
      </c>
      <c r="AJ828" t="s">
        <v>66</v>
      </c>
      <c r="AK828" t="s">
        <v>66</v>
      </c>
      <c r="AL828" t="s">
        <v>66</v>
      </c>
      <c r="AM828" s="2" t="str">
        <f>HYPERLINK("https://transparencia.cidesi.mx/comprobantes/2021/CQ2100831 /C2FACTURA_1632142329420_345186971.pdf")</f>
        <v>https://transparencia.cidesi.mx/comprobantes/2021/CQ2100831 /C2FACTURA_1632142329420_345186971.pdf</v>
      </c>
      <c r="AN828" t="str">
        <f>HYPERLINK("https://transparencia.cidesi.mx/comprobantes/2021/CQ2100831 /C2FACTURA_1632142329420_345186971.pdf")</f>
        <v>https://transparencia.cidesi.mx/comprobantes/2021/CQ2100831 /C2FACTURA_1632142329420_345186971.pdf</v>
      </c>
      <c r="AO828" t="str">
        <f>HYPERLINK("https://transparencia.cidesi.mx/comprobantes/2021/CQ2100831 /C2FACTURA_1632142329420_345186971.xml")</f>
        <v>https://transparencia.cidesi.mx/comprobantes/2021/CQ2100831 /C2FACTURA_1632142329420_345186971.xml</v>
      </c>
      <c r="AP828" t="s">
        <v>1580</v>
      </c>
      <c r="AQ828" t="s">
        <v>1580</v>
      </c>
      <c r="AR828" t="s">
        <v>891</v>
      </c>
      <c r="AS828" t="s">
        <v>1543</v>
      </c>
      <c r="AT828" s="1">
        <v>44460</v>
      </c>
      <c r="AU828" s="1">
        <v>44470</v>
      </c>
    </row>
    <row r="829" spans="1:47" x14ac:dyDescent="0.3">
      <c r="A829" t="s">
        <v>881</v>
      </c>
      <c r="B829" t="s">
        <v>224</v>
      </c>
      <c r="C829" t="s">
        <v>225</v>
      </c>
      <c r="D829">
        <v>9016</v>
      </c>
      <c r="E829" t="s">
        <v>1535</v>
      </c>
      <c r="F829" t="s">
        <v>1536</v>
      </c>
      <c r="G829" t="s">
        <v>724</v>
      </c>
      <c r="H829" t="s">
        <v>1577</v>
      </c>
      <c r="I829" t="s">
        <v>54</v>
      </c>
      <c r="J829" t="s">
        <v>1578</v>
      </c>
      <c r="K829" t="s">
        <v>56</v>
      </c>
      <c r="L829">
        <v>0</v>
      </c>
      <c r="M829" t="s">
        <v>73</v>
      </c>
      <c r="N829">
        <v>0</v>
      </c>
      <c r="O829" t="s">
        <v>58</v>
      </c>
      <c r="P829" t="s">
        <v>59</v>
      </c>
      <c r="Q829" t="s">
        <v>60</v>
      </c>
      <c r="R829" t="s">
        <v>1578</v>
      </c>
      <c r="S829" s="1">
        <v>44456</v>
      </c>
      <c r="T829" s="1">
        <v>44456</v>
      </c>
      <c r="U829">
        <v>37501</v>
      </c>
      <c r="V829" t="s">
        <v>61</v>
      </c>
      <c r="W829" t="s">
        <v>1579</v>
      </c>
      <c r="X829" s="1">
        <v>44459</v>
      </c>
      <c r="Y829" t="s">
        <v>63</v>
      </c>
      <c r="Z829">
        <v>355.17</v>
      </c>
      <c r="AA829">
        <v>16</v>
      </c>
      <c r="AB829">
        <v>56.83</v>
      </c>
      <c r="AC829">
        <v>0</v>
      </c>
      <c r="AD829">
        <v>412</v>
      </c>
      <c r="AE829">
        <v>509.5</v>
      </c>
      <c r="AF829">
        <v>545</v>
      </c>
      <c r="AG829" t="s">
        <v>1540</v>
      </c>
      <c r="AH829" t="s">
        <v>65</v>
      </c>
      <c r="AI829" t="s">
        <v>65</v>
      </c>
      <c r="AJ829" t="s">
        <v>66</v>
      </c>
      <c r="AK829" t="s">
        <v>66</v>
      </c>
      <c r="AL829" t="s">
        <v>66</v>
      </c>
      <c r="AM829" s="2" t="str">
        <f>HYPERLINK("https://transparencia.cidesi.mx/comprobantes/2021/CQ2100831 /C3CID840309UG7FA0000035233.pdf")</f>
        <v>https://transparencia.cidesi.mx/comprobantes/2021/CQ2100831 /C3CID840309UG7FA0000035233.pdf</v>
      </c>
      <c r="AN829" t="str">
        <f>HYPERLINK("https://transparencia.cidesi.mx/comprobantes/2021/CQ2100831 /C3CID840309UG7FA0000035233.pdf")</f>
        <v>https://transparencia.cidesi.mx/comprobantes/2021/CQ2100831 /C3CID840309UG7FA0000035233.pdf</v>
      </c>
      <c r="AO829" t="str">
        <f>HYPERLINK("https://transparencia.cidesi.mx/comprobantes/2021/CQ2100831 /C3CID840309UG7FA0000035233.xml")</f>
        <v>https://transparencia.cidesi.mx/comprobantes/2021/CQ2100831 /C3CID840309UG7FA0000035233.xml</v>
      </c>
      <c r="AP829" t="s">
        <v>1580</v>
      </c>
      <c r="AQ829" t="s">
        <v>1580</v>
      </c>
      <c r="AR829" t="s">
        <v>891</v>
      </c>
      <c r="AS829" t="s">
        <v>1543</v>
      </c>
      <c r="AT829" s="1">
        <v>44460</v>
      </c>
      <c r="AU829" s="1">
        <v>44470</v>
      </c>
    </row>
    <row r="830" spans="1:47" x14ac:dyDescent="0.3">
      <c r="A830" t="s">
        <v>881</v>
      </c>
      <c r="B830" t="s">
        <v>224</v>
      </c>
      <c r="C830" t="s">
        <v>225</v>
      </c>
      <c r="D830">
        <v>9016</v>
      </c>
      <c r="E830" t="s">
        <v>1535</v>
      </c>
      <c r="F830" t="s">
        <v>1536</v>
      </c>
      <c r="G830" t="s">
        <v>724</v>
      </c>
      <c r="H830" t="s">
        <v>1581</v>
      </c>
      <c r="I830" t="s">
        <v>54</v>
      </c>
      <c r="J830" t="s">
        <v>1582</v>
      </c>
      <c r="K830" t="s">
        <v>56</v>
      </c>
      <c r="L830">
        <v>0</v>
      </c>
      <c r="M830" t="s">
        <v>73</v>
      </c>
      <c r="N830">
        <v>0</v>
      </c>
      <c r="O830" t="s">
        <v>58</v>
      </c>
      <c r="P830" t="s">
        <v>59</v>
      </c>
      <c r="Q830" t="s">
        <v>601</v>
      </c>
      <c r="R830" t="s">
        <v>1582</v>
      </c>
      <c r="S830" s="1">
        <v>44460</v>
      </c>
      <c r="T830" s="1">
        <v>44460</v>
      </c>
      <c r="U830">
        <v>37501</v>
      </c>
      <c r="V830" t="s">
        <v>61</v>
      </c>
      <c r="W830" t="s">
        <v>1583</v>
      </c>
      <c r="X830" s="1">
        <v>44461</v>
      </c>
      <c r="Y830" t="s">
        <v>63</v>
      </c>
      <c r="Z830">
        <v>360.34</v>
      </c>
      <c r="AA830">
        <v>16</v>
      </c>
      <c r="AB830">
        <v>57.65</v>
      </c>
      <c r="AC830">
        <v>0.01</v>
      </c>
      <c r="AD830">
        <v>418</v>
      </c>
      <c r="AE830">
        <v>522</v>
      </c>
      <c r="AF830">
        <v>545</v>
      </c>
      <c r="AG830" t="s">
        <v>1540</v>
      </c>
      <c r="AH830" t="s">
        <v>65</v>
      </c>
      <c r="AI830" t="s">
        <v>65</v>
      </c>
      <c r="AJ830" t="s">
        <v>66</v>
      </c>
      <c r="AK830" t="s">
        <v>66</v>
      </c>
      <c r="AL830" t="s">
        <v>66</v>
      </c>
      <c r="AM830" s="2" t="str">
        <f>HYPERLINK("https://transparencia.cidesi.mx/comprobantes/2021/CQ2100856 /C1RUFM731208CB3FFM3979.pdf")</f>
        <v>https://transparencia.cidesi.mx/comprobantes/2021/CQ2100856 /C1RUFM731208CB3FFM3979.pdf</v>
      </c>
      <c r="AN830" t="str">
        <f>HYPERLINK("https://transparencia.cidesi.mx/comprobantes/2021/CQ2100856 /C1RUFM731208CB3FFM3979.pdf")</f>
        <v>https://transparencia.cidesi.mx/comprobantes/2021/CQ2100856 /C1RUFM731208CB3FFM3979.pdf</v>
      </c>
      <c r="AO830" t="str">
        <f>HYPERLINK("https://transparencia.cidesi.mx/comprobantes/2021/CQ2100856 /C1RUFM731208CB3FFM3979.xml")</f>
        <v>https://transparencia.cidesi.mx/comprobantes/2021/CQ2100856 /C1RUFM731208CB3FFM3979.xml</v>
      </c>
      <c r="AP830" t="s">
        <v>1584</v>
      </c>
      <c r="AQ830" t="s">
        <v>1585</v>
      </c>
      <c r="AR830" t="s">
        <v>891</v>
      </c>
      <c r="AS830" t="s">
        <v>1543</v>
      </c>
      <c r="AT830" s="1">
        <v>44462</v>
      </c>
      <c r="AU830" s="1">
        <v>44470</v>
      </c>
    </row>
    <row r="831" spans="1:47" x14ac:dyDescent="0.3">
      <c r="A831" t="s">
        <v>881</v>
      </c>
      <c r="B831" t="s">
        <v>224</v>
      </c>
      <c r="C831" t="s">
        <v>225</v>
      </c>
      <c r="D831">
        <v>9016</v>
      </c>
      <c r="E831" t="s">
        <v>1535</v>
      </c>
      <c r="F831" t="s">
        <v>1536</v>
      </c>
      <c r="G831" t="s">
        <v>724</v>
      </c>
      <c r="H831" t="s">
        <v>1581</v>
      </c>
      <c r="I831" t="s">
        <v>54</v>
      </c>
      <c r="J831" t="s">
        <v>1582</v>
      </c>
      <c r="K831" t="s">
        <v>56</v>
      </c>
      <c r="L831">
        <v>0</v>
      </c>
      <c r="M831" t="s">
        <v>73</v>
      </c>
      <c r="N831">
        <v>0</v>
      </c>
      <c r="O831" t="s">
        <v>58</v>
      </c>
      <c r="P831" t="s">
        <v>59</v>
      </c>
      <c r="Q831" t="s">
        <v>601</v>
      </c>
      <c r="R831" t="s">
        <v>1582</v>
      </c>
      <c r="S831" s="1">
        <v>44460</v>
      </c>
      <c r="T831" s="1">
        <v>44460</v>
      </c>
      <c r="U831">
        <v>37501</v>
      </c>
      <c r="V831" t="s">
        <v>61</v>
      </c>
      <c r="W831" t="s">
        <v>1583</v>
      </c>
      <c r="X831" s="1">
        <v>44461</v>
      </c>
      <c r="Y831" t="s">
        <v>63</v>
      </c>
      <c r="Z831">
        <v>79.59</v>
      </c>
      <c r="AA831">
        <v>16</v>
      </c>
      <c r="AB831">
        <v>4.41</v>
      </c>
      <c r="AC831">
        <v>0</v>
      </c>
      <c r="AD831">
        <v>84</v>
      </c>
      <c r="AE831">
        <v>522</v>
      </c>
      <c r="AF831">
        <v>545</v>
      </c>
      <c r="AG831" t="s">
        <v>1540</v>
      </c>
      <c r="AH831" t="s">
        <v>65</v>
      </c>
      <c r="AI831" t="s">
        <v>65</v>
      </c>
      <c r="AJ831" t="s">
        <v>66</v>
      </c>
      <c r="AK831" t="s">
        <v>66</v>
      </c>
      <c r="AL831" t="s">
        <v>66</v>
      </c>
      <c r="AM831" s="2" t="str">
        <f>HYPERLINK("https://transparencia.cidesi.mx/comprobantes/2021/CQ2100856 /C2FACTURA_1632312652248_345462629.pdf")</f>
        <v>https://transparencia.cidesi.mx/comprobantes/2021/CQ2100856 /C2FACTURA_1632312652248_345462629.pdf</v>
      </c>
      <c r="AN831" t="str">
        <f>HYPERLINK("https://transparencia.cidesi.mx/comprobantes/2021/CQ2100856 /C2FACTURA_1632312652248_345462629.pdf")</f>
        <v>https://transparencia.cidesi.mx/comprobantes/2021/CQ2100856 /C2FACTURA_1632312652248_345462629.pdf</v>
      </c>
      <c r="AO831" t="str">
        <f>HYPERLINK("https://transparencia.cidesi.mx/comprobantes/2021/CQ2100856 /C2FACTURA_1632312652248_345462629.xml")</f>
        <v>https://transparencia.cidesi.mx/comprobantes/2021/CQ2100856 /C2FACTURA_1632312652248_345462629.xml</v>
      </c>
      <c r="AP831" t="s">
        <v>1584</v>
      </c>
      <c r="AQ831" t="s">
        <v>1585</v>
      </c>
      <c r="AR831" t="s">
        <v>891</v>
      </c>
      <c r="AS831" t="s">
        <v>1543</v>
      </c>
      <c r="AT831" s="1">
        <v>44462</v>
      </c>
      <c r="AU831" s="1">
        <v>44470</v>
      </c>
    </row>
    <row r="832" spans="1:47" x14ac:dyDescent="0.3">
      <c r="A832" t="s">
        <v>881</v>
      </c>
      <c r="B832" t="s">
        <v>224</v>
      </c>
      <c r="C832" t="s">
        <v>225</v>
      </c>
      <c r="D832">
        <v>9016</v>
      </c>
      <c r="E832" t="s">
        <v>1535</v>
      </c>
      <c r="F832" t="s">
        <v>1536</v>
      </c>
      <c r="G832" t="s">
        <v>724</v>
      </c>
      <c r="H832" t="s">
        <v>1581</v>
      </c>
      <c r="I832" t="s">
        <v>54</v>
      </c>
      <c r="J832" t="s">
        <v>1582</v>
      </c>
      <c r="K832" t="s">
        <v>56</v>
      </c>
      <c r="L832">
        <v>0</v>
      </c>
      <c r="M832" t="s">
        <v>73</v>
      </c>
      <c r="N832">
        <v>0</v>
      </c>
      <c r="O832" t="s">
        <v>58</v>
      </c>
      <c r="P832" t="s">
        <v>59</v>
      </c>
      <c r="Q832" t="s">
        <v>601</v>
      </c>
      <c r="R832" t="s">
        <v>1582</v>
      </c>
      <c r="S832" s="1">
        <v>44460</v>
      </c>
      <c r="T832" s="1">
        <v>44460</v>
      </c>
      <c r="U832">
        <v>37501</v>
      </c>
      <c r="V832" t="s">
        <v>61</v>
      </c>
      <c r="W832" t="s">
        <v>1583</v>
      </c>
      <c r="X832" s="1">
        <v>44461</v>
      </c>
      <c r="Y832" t="s">
        <v>63</v>
      </c>
      <c r="Z832">
        <v>20</v>
      </c>
      <c r="AA832">
        <v>0</v>
      </c>
      <c r="AB832">
        <v>0</v>
      </c>
      <c r="AC832">
        <v>0</v>
      </c>
      <c r="AD832">
        <v>20</v>
      </c>
      <c r="AE832">
        <v>522</v>
      </c>
      <c r="AF832">
        <v>545</v>
      </c>
      <c r="AG832" t="s">
        <v>1540</v>
      </c>
      <c r="AH832" t="s">
        <v>65</v>
      </c>
      <c r="AI832" t="s">
        <v>65</v>
      </c>
      <c r="AJ832" t="s">
        <v>66</v>
      </c>
      <c r="AK832" t="s">
        <v>66</v>
      </c>
      <c r="AL832" t="s">
        <v>66</v>
      </c>
      <c r="AM832" s="2" t="str">
        <f>HYPERLINK("https://transparencia.cidesi.mx/comprobantes/2021/CQ2100856 /C3FACTURA_1632312522915_345462543.pdf")</f>
        <v>https://transparencia.cidesi.mx/comprobantes/2021/CQ2100856 /C3FACTURA_1632312522915_345462543.pdf</v>
      </c>
      <c r="AN832" t="str">
        <f>HYPERLINK("https://transparencia.cidesi.mx/comprobantes/2021/CQ2100856 /C3FACTURA_1632312522915_345462543.pdf")</f>
        <v>https://transparencia.cidesi.mx/comprobantes/2021/CQ2100856 /C3FACTURA_1632312522915_345462543.pdf</v>
      </c>
      <c r="AO832" t="str">
        <f>HYPERLINK("https://transparencia.cidesi.mx/comprobantes/2021/CQ2100856 /C3FACTURA_1632312522915_345462543.xml")</f>
        <v>https://transparencia.cidesi.mx/comprobantes/2021/CQ2100856 /C3FACTURA_1632312522915_345462543.xml</v>
      </c>
      <c r="AP832" t="s">
        <v>1584</v>
      </c>
      <c r="AQ832" t="s">
        <v>1585</v>
      </c>
      <c r="AR832" t="s">
        <v>891</v>
      </c>
      <c r="AS832" t="s">
        <v>1543</v>
      </c>
      <c r="AT832" s="1">
        <v>44462</v>
      </c>
      <c r="AU832" s="1">
        <v>44470</v>
      </c>
    </row>
    <row r="833" spans="1:47" x14ac:dyDescent="0.3">
      <c r="A833" t="s">
        <v>881</v>
      </c>
      <c r="B833" t="s">
        <v>224</v>
      </c>
      <c r="C833" t="s">
        <v>225</v>
      </c>
      <c r="D833">
        <v>9016</v>
      </c>
      <c r="E833" t="s">
        <v>1535</v>
      </c>
      <c r="F833" t="s">
        <v>1536</v>
      </c>
      <c r="G833" t="s">
        <v>724</v>
      </c>
      <c r="H833" t="s">
        <v>1586</v>
      </c>
      <c r="I833" t="s">
        <v>54</v>
      </c>
      <c r="J833" t="s">
        <v>1587</v>
      </c>
      <c r="K833" t="s">
        <v>56</v>
      </c>
      <c r="L833">
        <v>0</v>
      </c>
      <c r="M833" t="s">
        <v>73</v>
      </c>
      <c r="N833">
        <v>0</v>
      </c>
      <c r="O833" t="s">
        <v>58</v>
      </c>
      <c r="P833" t="s">
        <v>59</v>
      </c>
      <c r="Q833" t="s">
        <v>601</v>
      </c>
      <c r="R833" t="s">
        <v>1587</v>
      </c>
      <c r="S833" s="1">
        <v>44461</v>
      </c>
      <c r="T833" s="1">
        <v>44461</v>
      </c>
      <c r="U833">
        <v>37501</v>
      </c>
      <c r="V833" t="s">
        <v>61</v>
      </c>
      <c r="W833" t="s">
        <v>1588</v>
      </c>
      <c r="X833" s="1">
        <v>44462</v>
      </c>
      <c r="Y833" t="s">
        <v>63</v>
      </c>
      <c r="Z833">
        <v>71</v>
      </c>
      <c r="AA833">
        <v>0</v>
      </c>
      <c r="AB833">
        <v>0</v>
      </c>
      <c r="AC833">
        <v>0</v>
      </c>
      <c r="AD833">
        <v>71</v>
      </c>
      <c r="AE833">
        <v>451</v>
      </c>
      <c r="AF833">
        <v>545</v>
      </c>
      <c r="AG833" t="s">
        <v>1540</v>
      </c>
      <c r="AH833" t="s">
        <v>65</v>
      </c>
      <c r="AI833" t="s">
        <v>65</v>
      </c>
      <c r="AJ833" t="s">
        <v>66</v>
      </c>
      <c r="AK833" t="s">
        <v>66</v>
      </c>
      <c r="AL833" t="s">
        <v>66</v>
      </c>
      <c r="AM833" s="2" t="str">
        <f>HYPERLINK("https://transparencia.cidesi.mx/comprobantes/2021/CQ2100865 /C1FACTURA_1632399078196_345596321.pdf")</f>
        <v>https://transparencia.cidesi.mx/comprobantes/2021/CQ2100865 /C1FACTURA_1632399078196_345596321.pdf</v>
      </c>
      <c r="AN833" t="str">
        <f>HYPERLINK("https://transparencia.cidesi.mx/comprobantes/2021/CQ2100865 /C1FACTURA_1632399078196_345596321.pdf")</f>
        <v>https://transparencia.cidesi.mx/comprobantes/2021/CQ2100865 /C1FACTURA_1632399078196_345596321.pdf</v>
      </c>
      <c r="AO833" t="str">
        <f>HYPERLINK("https://transparencia.cidesi.mx/comprobantes/2021/CQ2100865 /C1FACTURA_1632399078196_345596321.xml")</f>
        <v>https://transparencia.cidesi.mx/comprobantes/2021/CQ2100865 /C1FACTURA_1632399078196_345596321.xml</v>
      </c>
      <c r="AP833" t="s">
        <v>1589</v>
      </c>
      <c r="AQ833" t="s">
        <v>1585</v>
      </c>
      <c r="AR833" t="s">
        <v>891</v>
      </c>
      <c r="AS833" t="s">
        <v>1543</v>
      </c>
      <c r="AT833" s="1">
        <v>44467</v>
      </c>
      <c r="AU833" s="1">
        <v>44473</v>
      </c>
    </row>
    <row r="834" spans="1:47" x14ac:dyDescent="0.3">
      <c r="A834" t="s">
        <v>881</v>
      </c>
      <c r="B834" t="s">
        <v>224</v>
      </c>
      <c r="C834" t="s">
        <v>225</v>
      </c>
      <c r="D834">
        <v>9016</v>
      </c>
      <c r="E834" t="s">
        <v>1535</v>
      </c>
      <c r="F834" t="s">
        <v>1536</v>
      </c>
      <c r="G834" t="s">
        <v>724</v>
      </c>
      <c r="H834" t="s">
        <v>1586</v>
      </c>
      <c r="I834" t="s">
        <v>54</v>
      </c>
      <c r="J834" t="s">
        <v>1587</v>
      </c>
      <c r="K834" t="s">
        <v>56</v>
      </c>
      <c r="L834">
        <v>0</v>
      </c>
      <c r="M834" t="s">
        <v>73</v>
      </c>
      <c r="N834">
        <v>0</v>
      </c>
      <c r="O834" t="s">
        <v>58</v>
      </c>
      <c r="P834" t="s">
        <v>59</v>
      </c>
      <c r="Q834" t="s">
        <v>601</v>
      </c>
      <c r="R834" t="s">
        <v>1587</v>
      </c>
      <c r="S834" s="1">
        <v>44461</v>
      </c>
      <c r="T834" s="1">
        <v>44461</v>
      </c>
      <c r="U834">
        <v>37501</v>
      </c>
      <c r="V834" t="s">
        <v>61</v>
      </c>
      <c r="W834" t="s">
        <v>1588</v>
      </c>
      <c r="X834" s="1">
        <v>44462</v>
      </c>
      <c r="Y834" t="s">
        <v>63</v>
      </c>
      <c r="Z834">
        <v>327.58999999999997</v>
      </c>
      <c r="AA834">
        <v>16</v>
      </c>
      <c r="AB834">
        <v>52.41</v>
      </c>
      <c r="AC834">
        <v>0</v>
      </c>
      <c r="AD834">
        <v>380</v>
      </c>
      <c r="AE834">
        <v>451</v>
      </c>
      <c r="AF834">
        <v>545</v>
      </c>
      <c r="AG834" t="s">
        <v>1540</v>
      </c>
      <c r="AH834" t="s">
        <v>65</v>
      </c>
      <c r="AI834" t="s">
        <v>65</v>
      </c>
      <c r="AJ834" t="s">
        <v>66</v>
      </c>
      <c r="AK834" t="s">
        <v>66</v>
      </c>
      <c r="AL834" t="s">
        <v>66</v>
      </c>
      <c r="AM834" s="2" t="str">
        <f>HYPERLINK("https://transparencia.cidesi.mx/comprobantes/2021/CQ2100865 /C2FA-RN026113-AULG430317679.pdf")</f>
        <v>https://transparencia.cidesi.mx/comprobantes/2021/CQ2100865 /C2FA-RN026113-AULG430317679.pdf</v>
      </c>
      <c r="AN834" t="str">
        <f>HYPERLINK("https://transparencia.cidesi.mx/comprobantes/2021/CQ2100865 /C2FA-RN026113-AULG430317679.pdf")</f>
        <v>https://transparencia.cidesi.mx/comprobantes/2021/CQ2100865 /C2FA-RN026113-AULG430317679.pdf</v>
      </c>
      <c r="AO834" t="str">
        <f>HYPERLINK("https://transparencia.cidesi.mx/comprobantes/2021/CQ2100865 /C2FA-RN026113-AULG430317679.xml")</f>
        <v>https://transparencia.cidesi.mx/comprobantes/2021/CQ2100865 /C2FA-RN026113-AULG430317679.xml</v>
      </c>
      <c r="AP834" t="s">
        <v>1589</v>
      </c>
      <c r="AQ834" t="s">
        <v>1585</v>
      </c>
      <c r="AR834" t="s">
        <v>891</v>
      </c>
      <c r="AS834" t="s">
        <v>1543</v>
      </c>
      <c r="AT834" s="1">
        <v>44467</v>
      </c>
      <c r="AU834" s="1">
        <v>44473</v>
      </c>
    </row>
    <row r="835" spans="1:47" x14ac:dyDescent="0.3">
      <c r="A835" t="s">
        <v>881</v>
      </c>
      <c r="B835" t="s">
        <v>224</v>
      </c>
      <c r="C835" t="s">
        <v>225</v>
      </c>
      <c r="D835">
        <v>9016</v>
      </c>
      <c r="E835" t="s">
        <v>1535</v>
      </c>
      <c r="F835" t="s">
        <v>1536</v>
      </c>
      <c r="G835" t="s">
        <v>724</v>
      </c>
      <c r="H835" t="s">
        <v>1590</v>
      </c>
      <c r="I835" t="s">
        <v>54</v>
      </c>
      <c r="J835" t="s">
        <v>1591</v>
      </c>
      <c r="K835" t="s">
        <v>56</v>
      </c>
      <c r="L835">
        <v>0</v>
      </c>
      <c r="M835" t="s">
        <v>73</v>
      </c>
      <c r="N835">
        <v>0</v>
      </c>
      <c r="O835" t="s">
        <v>58</v>
      </c>
      <c r="P835" t="s">
        <v>59</v>
      </c>
      <c r="Q835" t="s">
        <v>601</v>
      </c>
      <c r="R835" t="s">
        <v>1591</v>
      </c>
      <c r="S835" s="1">
        <v>44462</v>
      </c>
      <c r="T835" s="1">
        <v>44462</v>
      </c>
      <c r="U835">
        <v>37501</v>
      </c>
      <c r="V835" t="s">
        <v>61</v>
      </c>
      <c r="W835" t="s">
        <v>1592</v>
      </c>
      <c r="X835" s="1">
        <v>44463</v>
      </c>
      <c r="Y835" t="s">
        <v>63</v>
      </c>
      <c r="Z835">
        <v>87</v>
      </c>
      <c r="AA835">
        <v>0</v>
      </c>
      <c r="AB835">
        <v>0</v>
      </c>
      <c r="AC835">
        <v>0</v>
      </c>
      <c r="AD835">
        <v>87</v>
      </c>
      <c r="AE835">
        <v>545</v>
      </c>
      <c r="AF835">
        <v>545</v>
      </c>
      <c r="AG835" t="s">
        <v>1540</v>
      </c>
      <c r="AH835" t="s">
        <v>65</v>
      </c>
      <c r="AI835" t="s">
        <v>65</v>
      </c>
      <c r="AJ835" t="s">
        <v>66</v>
      </c>
      <c r="AK835" t="s">
        <v>66</v>
      </c>
      <c r="AL835" t="s">
        <v>66</v>
      </c>
      <c r="AM835" s="2" t="str">
        <f>HYPERLINK("https://transparencia.cidesi.mx/comprobantes/2021/CQ2100881 /C1FACTURA_1632488254681_345731791.pdf")</f>
        <v>https://transparencia.cidesi.mx/comprobantes/2021/CQ2100881 /C1FACTURA_1632488254681_345731791.pdf</v>
      </c>
      <c r="AN835" t="str">
        <f>HYPERLINK("https://transparencia.cidesi.mx/comprobantes/2021/CQ2100881 /C1FACTURA_1632488254681_345731791.pdf")</f>
        <v>https://transparencia.cidesi.mx/comprobantes/2021/CQ2100881 /C1FACTURA_1632488254681_345731791.pdf</v>
      </c>
      <c r="AO835" t="str">
        <f>HYPERLINK("https://transparencia.cidesi.mx/comprobantes/2021/CQ2100881 /C1FACTURA_1632488254681_345731791.xml")</f>
        <v>https://transparencia.cidesi.mx/comprobantes/2021/CQ2100881 /C1FACTURA_1632488254681_345731791.xml</v>
      </c>
      <c r="AP835" t="s">
        <v>1593</v>
      </c>
      <c r="AQ835" t="s">
        <v>1585</v>
      </c>
      <c r="AR835" t="s">
        <v>891</v>
      </c>
      <c r="AS835" t="s">
        <v>1543</v>
      </c>
      <c r="AT835" s="1">
        <v>44467</v>
      </c>
      <c r="AU835" s="1">
        <v>44470</v>
      </c>
    </row>
    <row r="836" spans="1:47" x14ac:dyDescent="0.3">
      <c r="A836" t="s">
        <v>881</v>
      </c>
      <c r="B836" t="s">
        <v>224</v>
      </c>
      <c r="C836" t="s">
        <v>225</v>
      </c>
      <c r="D836">
        <v>9016</v>
      </c>
      <c r="E836" t="s">
        <v>1535</v>
      </c>
      <c r="F836" t="s">
        <v>1536</v>
      </c>
      <c r="G836" t="s">
        <v>724</v>
      </c>
      <c r="H836" t="s">
        <v>1590</v>
      </c>
      <c r="I836" t="s">
        <v>54</v>
      </c>
      <c r="J836" t="s">
        <v>1591</v>
      </c>
      <c r="K836" t="s">
        <v>56</v>
      </c>
      <c r="L836">
        <v>0</v>
      </c>
      <c r="M836" t="s">
        <v>73</v>
      </c>
      <c r="N836">
        <v>0</v>
      </c>
      <c r="O836" t="s">
        <v>58</v>
      </c>
      <c r="P836" t="s">
        <v>59</v>
      </c>
      <c r="Q836" t="s">
        <v>601</v>
      </c>
      <c r="R836" t="s">
        <v>1591</v>
      </c>
      <c r="S836" s="1">
        <v>44462</v>
      </c>
      <c r="T836" s="1">
        <v>44462</v>
      </c>
      <c r="U836">
        <v>37501</v>
      </c>
      <c r="V836" t="s">
        <v>61</v>
      </c>
      <c r="W836" t="s">
        <v>1592</v>
      </c>
      <c r="X836" s="1">
        <v>44463</v>
      </c>
      <c r="Y836" t="s">
        <v>63</v>
      </c>
      <c r="Z836">
        <v>362.93</v>
      </c>
      <c r="AA836">
        <v>16</v>
      </c>
      <c r="AB836">
        <v>58.07</v>
      </c>
      <c r="AC836">
        <v>37</v>
      </c>
      <c r="AD836">
        <v>458</v>
      </c>
      <c r="AE836">
        <v>545</v>
      </c>
      <c r="AF836">
        <v>545</v>
      </c>
      <c r="AG836" t="s">
        <v>1540</v>
      </c>
      <c r="AH836" t="s">
        <v>65</v>
      </c>
      <c r="AI836" t="s">
        <v>65</v>
      </c>
      <c r="AJ836" t="s">
        <v>66</v>
      </c>
      <c r="AK836" t="s">
        <v>66</v>
      </c>
      <c r="AL836" t="s">
        <v>66</v>
      </c>
      <c r="AM836" s="2" t="str">
        <f>HYPERLINK("https://transparencia.cidesi.mx/comprobantes/2021/CQ2100881 /C2GEX0108298K9FB0000091618.pdf")</f>
        <v>https://transparencia.cidesi.mx/comprobantes/2021/CQ2100881 /C2GEX0108298K9FB0000091618.pdf</v>
      </c>
      <c r="AN836" t="str">
        <f>HYPERLINK("https://transparencia.cidesi.mx/comprobantes/2021/CQ2100881 /C2GEX0108298K9FB0000091618.pdf")</f>
        <v>https://transparencia.cidesi.mx/comprobantes/2021/CQ2100881 /C2GEX0108298K9FB0000091618.pdf</v>
      </c>
      <c r="AO836" t="str">
        <f>HYPERLINK("https://transparencia.cidesi.mx/comprobantes/2021/CQ2100881 /C2GEX0108298K9FB0000091618.xml")</f>
        <v>https://transparencia.cidesi.mx/comprobantes/2021/CQ2100881 /C2GEX0108298K9FB0000091618.xml</v>
      </c>
      <c r="AP836" t="s">
        <v>1593</v>
      </c>
      <c r="AQ836" t="s">
        <v>1585</v>
      </c>
      <c r="AR836" t="s">
        <v>891</v>
      </c>
      <c r="AS836" t="s">
        <v>1543</v>
      </c>
      <c r="AT836" s="1">
        <v>44467</v>
      </c>
      <c r="AU836" s="1">
        <v>44470</v>
      </c>
    </row>
    <row r="837" spans="1:47" x14ac:dyDescent="0.3">
      <c r="A837" t="s">
        <v>47</v>
      </c>
      <c r="B837" t="s">
        <v>182</v>
      </c>
      <c r="C837" t="s">
        <v>829</v>
      </c>
      <c r="D837">
        <v>9059</v>
      </c>
      <c r="E837" t="s">
        <v>1594</v>
      </c>
      <c r="F837" t="s">
        <v>1595</v>
      </c>
      <c r="G837" t="s">
        <v>1596</v>
      </c>
      <c r="H837" t="s">
        <v>1597</v>
      </c>
      <c r="I837" t="s">
        <v>54</v>
      </c>
      <c r="J837" t="s">
        <v>1598</v>
      </c>
      <c r="K837" t="s">
        <v>56</v>
      </c>
      <c r="L837">
        <v>0</v>
      </c>
      <c r="M837" t="s">
        <v>73</v>
      </c>
      <c r="N837">
        <v>0</v>
      </c>
      <c r="O837" t="s">
        <v>58</v>
      </c>
      <c r="P837" t="s">
        <v>59</v>
      </c>
      <c r="Q837" t="s">
        <v>60</v>
      </c>
      <c r="R837" t="s">
        <v>1598</v>
      </c>
      <c r="S837" s="1">
        <v>44397</v>
      </c>
      <c r="T837" s="1">
        <v>44399</v>
      </c>
      <c r="U837">
        <v>37501</v>
      </c>
      <c r="V837" t="s">
        <v>104</v>
      </c>
      <c r="W837" t="s">
        <v>1599</v>
      </c>
      <c r="X837" s="1">
        <v>44404</v>
      </c>
      <c r="Y837" t="s">
        <v>100</v>
      </c>
      <c r="Z837">
        <v>509.74</v>
      </c>
      <c r="AA837">
        <v>16</v>
      </c>
      <c r="AB837">
        <v>78.8</v>
      </c>
      <c r="AC837">
        <v>0</v>
      </c>
      <c r="AD837">
        <v>588.54</v>
      </c>
      <c r="AE837">
        <v>2321.06</v>
      </c>
      <c r="AF837">
        <v>2727</v>
      </c>
      <c r="AG837" t="s">
        <v>1600</v>
      </c>
      <c r="AH837" t="s">
        <v>65</v>
      </c>
      <c r="AI837" t="s">
        <v>65</v>
      </c>
      <c r="AJ837" t="s">
        <v>66</v>
      </c>
      <c r="AK837" t="s">
        <v>66</v>
      </c>
      <c r="AL837" t="s">
        <v>66</v>
      </c>
      <c r="AM837" s="2" t="str">
        <f>HYPERLINK("https://transparencia.cidesi.mx/comprobantes/2021/CQ2100559 /C1FFX121005C6A-22-07-2021085315580-F1XSUR155583.xml")</f>
        <v>https://transparencia.cidesi.mx/comprobantes/2021/CQ2100559 /C1FFX121005C6A-22-07-2021085315580-F1XSUR155583.xml</v>
      </c>
      <c r="AN837" t="str">
        <f>HYPERLINK("https://transparencia.cidesi.mx/comprobantes/2021/CQ2100559 /C1FFX121005C6A-22-07-2021085315580-F1XSUR155583.xml")</f>
        <v>https://transparencia.cidesi.mx/comprobantes/2021/CQ2100559 /C1FFX121005C6A-22-07-2021085315580-F1XSUR155583.xml</v>
      </c>
      <c r="AO837" t="str">
        <f>HYPERLINK("https://transparencia.cidesi.mx/comprobantes/2021/CQ2100559 /C1FFX121005C6A-22-07-2021085315580-F1XSUR155583.xml")</f>
        <v>https://transparencia.cidesi.mx/comprobantes/2021/CQ2100559 /C1FFX121005C6A-22-07-2021085315580-F1XSUR155583.xml</v>
      </c>
      <c r="AP837" t="s">
        <v>1598</v>
      </c>
      <c r="AQ837" t="s">
        <v>1601</v>
      </c>
      <c r="AR837" t="s">
        <v>1602</v>
      </c>
      <c r="AS837" t="s">
        <v>1603</v>
      </c>
      <c r="AT837" s="1">
        <v>44407</v>
      </c>
      <c r="AU837" t="s">
        <v>73</v>
      </c>
    </row>
    <row r="838" spans="1:47" x14ac:dyDescent="0.3">
      <c r="A838" t="s">
        <v>47</v>
      </c>
      <c r="B838" t="s">
        <v>182</v>
      </c>
      <c r="C838" t="s">
        <v>829</v>
      </c>
      <c r="D838">
        <v>9059</v>
      </c>
      <c r="E838" t="s">
        <v>1594</v>
      </c>
      <c r="F838" t="s">
        <v>1595</v>
      </c>
      <c r="G838" t="s">
        <v>1596</v>
      </c>
      <c r="H838" t="s">
        <v>1597</v>
      </c>
      <c r="I838" t="s">
        <v>54</v>
      </c>
      <c r="J838" t="s">
        <v>1598</v>
      </c>
      <c r="K838" t="s">
        <v>56</v>
      </c>
      <c r="L838">
        <v>0</v>
      </c>
      <c r="M838" t="s">
        <v>73</v>
      </c>
      <c r="N838">
        <v>0</v>
      </c>
      <c r="O838" t="s">
        <v>58</v>
      </c>
      <c r="P838" t="s">
        <v>59</v>
      </c>
      <c r="Q838" t="s">
        <v>60</v>
      </c>
      <c r="R838" t="s">
        <v>1598</v>
      </c>
      <c r="S838" s="1">
        <v>44397</v>
      </c>
      <c r="T838" s="1">
        <v>44399</v>
      </c>
      <c r="U838">
        <v>37501</v>
      </c>
      <c r="V838" t="s">
        <v>104</v>
      </c>
      <c r="W838" t="s">
        <v>1599</v>
      </c>
      <c r="X838" s="1">
        <v>44404</v>
      </c>
      <c r="Y838" t="s">
        <v>100</v>
      </c>
      <c r="Z838">
        <v>519.66</v>
      </c>
      <c r="AA838">
        <v>16</v>
      </c>
      <c r="AB838">
        <v>80.33</v>
      </c>
      <c r="AC838">
        <v>0</v>
      </c>
      <c r="AD838">
        <v>599.99</v>
      </c>
      <c r="AE838">
        <v>2321.06</v>
      </c>
      <c r="AF838">
        <v>2727</v>
      </c>
      <c r="AG838" t="s">
        <v>1600</v>
      </c>
      <c r="AH838" t="s">
        <v>65</v>
      </c>
      <c r="AI838" t="s">
        <v>65</v>
      </c>
      <c r="AJ838" t="s">
        <v>66</v>
      </c>
      <c r="AK838" t="s">
        <v>66</v>
      </c>
      <c r="AL838" t="s">
        <v>66</v>
      </c>
      <c r="AM838" s="2" t="str">
        <f>HYPERLINK("https://transparencia.cidesi.mx/comprobantes/2021/CQ2100559 /C2PHT0103074L9_Factura__11496_2721BAD3-5505-4372-B753-CB7160880F2E.xml")</f>
        <v>https://transparencia.cidesi.mx/comprobantes/2021/CQ2100559 /C2PHT0103074L9_Factura__11496_2721BAD3-5505-4372-B753-CB7160880F2E.xml</v>
      </c>
      <c r="AN838" t="str">
        <f>HYPERLINK("https://transparencia.cidesi.mx/comprobantes/2021/CQ2100559 /C2PHT0103074L9_Factura__11496_2721BAD3-5505-4372-B753-CB7160880F2E.xml")</f>
        <v>https://transparencia.cidesi.mx/comprobantes/2021/CQ2100559 /C2PHT0103074L9_Factura__11496_2721BAD3-5505-4372-B753-CB7160880F2E.xml</v>
      </c>
      <c r="AO838" t="str">
        <f>HYPERLINK("https://transparencia.cidesi.mx/comprobantes/2021/CQ2100559 /C2PHT0103074L9_Factura__11496_2721BAD3-5505-4372-B753-CB7160880F2E.xml")</f>
        <v>https://transparencia.cidesi.mx/comprobantes/2021/CQ2100559 /C2PHT0103074L9_Factura__11496_2721BAD3-5505-4372-B753-CB7160880F2E.xml</v>
      </c>
      <c r="AP838" t="s">
        <v>1598</v>
      </c>
      <c r="AQ838" t="s">
        <v>1601</v>
      </c>
      <c r="AR838" t="s">
        <v>1602</v>
      </c>
      <c r="AS838" t="s">
        <v>1603</v>
      </c>
      <c r="AT838" s="1">
        <v>44407</v>
      </c>
      <c r="AU838" t="s">
        <v>73</v>
      </c>
    </row>
    <row r="839" spans="1:47" x14ac:dyDescent="0.3">
      <c r="A839" t="s">
        <v>47</v>
      </c>
      <c r="B839" t="s">
        <v>182</v>
      </c>
      <c r="C839" t="s">
        <v>829</v>
      </c>
      <c r="D839">
        <v>9059</v>
      </c>
      <c r="E839" t="s">
        <v>1594</v>
      </c>
      <c r="F839" t="s">
        <v>1595</v>
      </c>
      <c r="G839" t="s">
        <v>1596</v>
      </c>
      <c r="H839" t="s">
        <v>1597</v>
      </c>
      <c r="I839" t="s">
        <v>54</v>
      </c>
      <c r="J839" t="s">
        <v>1598</v>
      </c>
      <c r="K839" t="s">
        <v>56</v>
      </c>
      <c r="L839">
        <v>0</v>
      </c>
      <c r="M839" t="s">
        <v>73</v>
      </c>
      <c r="N839">
        <v>0</v>
      </c>
      <c r="O839" t="s">
        <v>58</v>
      </c>
      <c r="P839" t="s">
        <v>59</v>
      </c>
      <c r="Q839" t="s">
        <v>60</v>
      </c>
      <c r="R839" t="s">
        <v>1598</v>
      </c>
      <c r="S839" s="1">
        <v>44397</v>
      </c>
      <c r="T839" s="1">
        <v>44399</v>
      </c>
      <c r="U839">
        <v>37501</v>
      </c>
      <c r="V839" t="s">
        <v>1009</v>
      </c>
      <c r="W839" t="s">
        <v>1599</v>
      </c>
      <c r="X839" s="1">
        <v>44404</v>
      </c>
      <c r="Y839" t="s">
        <v>100</v>
      </c>
      <c r="Z839">
        <v>67.7</v>
      </c>
      <c r="AA839">
        <v>16</v>
      </c>
      <c r="AB839">
        <v>10.83</v>
      </c>
      <c r="AC839">
        <v>0</v>
      </c>
      <c r="AD839">
        <v>78.53</v>
      </c>
      <c r="AE839">
        <v>2321.06</v>
      </c>
      <c r="AF839">
        <v>2727</v>
      </c>
      <c r="AG839" t="s">
        <v>1604</v>
      </c>
      <c r="AH839" t="s">
        <v>66</v>
      </c>
      <c r="AI839" t="s">
        <v>65</v>
      </c>
      <c r="AJ839" t="s">
        <v>66</v>
      </c>
      <c r="AK839" t="s">
        <v>66</v>
      </c>
      <c r="AL839" t="s">
        <v>66</v>
      </c>
      <c r="AM839" s="2" t="str">
        <f>HYPERLINK("https://transparencia.cidesi.mx/comprobantes/2021/CQ2100559 /C3CFD_FE_S1XSUR155581.xml")</f>
        <v>https://transparencia.cidesi.mx/comprobantes/2021/CQ2100559 /C3CFD_FE_S1XSUR155581.xml</v>
      </c>
      <c r="AN839" t="str">
        <f>HYPERLINK("https://transparencia.cidesi.mx/comprobantes/2021/CQ2100559 /C3CFD_FE_S1XSUR155581.xml")</f>
        <v>https://transparencia.cidesi.mx/comprobantes/2021/CQ2100559 /C3CFD_FE_S1XSUR155581.xml</v>
      </c>
      <c r="AO839" t="str">
        <f>HYPERLINK("https://transparencia.cidesi.mx/comprobantes/2021/CQ2100559 /C3CFD_FE_S1XSUR155581.xml")</f>
        <v>https://transparencia.cidesi.mx/comprobantes/2021/CQ2100559 /C3CFD_FE_S1XSUR155581.xml</v>
      </c>
      <c r="AP839" t="s">
        <v>1598</v>
      </c>
      <c r="AQ839" t="s">
        <v>1601</v>
      </c>
      <c r="AR839" t="s">
        <v>1602</v>
      </c>
      <c r="AS839" t="s">
        <v>1603</v>
      </c>
      <c r="AT839" s="1">
        <v>44407</v>
      </c>
      <c r="AU839" t="s">
        <v>73</v>
      </c>
    </row>
    <row r="840" spans="1:47" x14ac:dyDescent="0.3">
      <c r="A840" t="s">
        <v>47</v>
      </c>
      <c r="B840" t="s">
        <v>182</v>
      </c>
      <c r="C840" t="s">
        <v>829</v>
      </c>
      <c r="D840">
        <v>9059</v>
      </c>
      <c r="E840" t="s">
        <v>1594</v>
      </c>
      <c r="F840" t="s">
        <v>1595</v>
      </c>
      <c r="G840" t="s">
        <v>1596</v>
      </c>
      <c r="H840" t="s">
        <v>1597</v>
      </c>
      <c r="I840" t="s">
        <v>54</v>
      </c>
      <c r="J840" t="s">
        <v>1598</v>
      </c>
      <c r="K840" t="s">
        <v>56</v>
      </c>
      <c r="L840">
        <v>0</v>
      </c>
      <c r="M840" t="s">
        <v>73</v>
      </c>
      <c r="N840">
        <v>0</v>
      </c>
      <c r="O840" t="s">
        <v>58</v>
      </c>
      <c r="P840" t="s">
        <v>59</v>
      </c>
      <c r="Q840" t="s">
        <v>60</v>
      </c>
      <c r="R840" t="s">
        <v>1598</v>
      </c>
      <c r="S840" s="1">
        <v>44397</v>
      </c>
      <c r="T840" s="1">
        <v>44399</v>
      </c>
      <c r="U840">
        <v>37501</v>
      </c>
      <c r="V840" t="s">
        <v>61</v>
      </c>
      <c r="W840" t="s">
        <v>1599</v>
      </c>
      <c r="X840" s="1">
        <v>44404</v>
      </c>
      <c r="Y840" t="s">
        <v>100</v>
      </c>
      <c r="Z840">
        <v>587.07000000000005</v>
      </c>
      <c r="AA840">
        <v>16</v>
      </c>
      <c r="AB840">
        <v>93.93</v>
      </c>
      <c r="AC840">
        <v>0</v>
      </c>
      <c r="AD840">
        <v>681</v>
      </c>
      <c r="AE840">
        <v>2321.06</v>
      </c>
      <c r="AF840">
        <v>2727</v>
      </c>
      <c r="AG840" t="s">
        <v>1605</v>
      </c>
      <c r="AH840" t="s">
        <v>65</v>
      </c>
      <c r="AI840" t="s">
        <v>65</v>
      </c>
      <c r="AJ840" t="s">
        <v>66</v>
      </c>
      <c r="AK840" t="s">
        <v>66</v>
      </c>
      <c r="AL840" t="s">
        <v>66</v>
      </c>
      <c r="AM840" s="2" t="str">
        <f>HYPERLINK("https://transparencia.cidesi.mx/comprobantes/2021/CQ2100559 /C469251509.xml")</f>
        <v>https://transparencia.cidesi.mx/comprobantes/2021/CQ2100559 /C469251509.xml</v>
      </c>
      <c r="AN840" t="str">
        <f>HYPERLINK("https://transparencia.cidesi.mx/comprobantes/2021/CQ2100559 /C469251509.xml")</f>
        <v>https://transparencia.cidesi.mx/comprobantes/2021/CQ2100559 /C469251509.xml</v>
      </c>
      <c r="AO840" t="str">
        <f>HYPERLINK("https://transparencia.cidesi.mx/comprobantes/2021/CQ2100559 /C469251509.xml")</f>
        <v>https://transparencia.cidesi.mx/comprobantes/2021/CQ2100559 /C469251509.xml</v>
      </c>
      <c r="AP840" t="s">
        <v>1598</v>
      </c>
      <c r="AQ840" t="s">
        <v>1601</v>
      </c>
      <c r="AR840" t="s">
        <v>1602</v>
      </c>
      <c r="AS840" t="s">
        <v>1603</v>
      </c>
      <c r="AT840" s="1">
        <v>44407</v>
      </c>
      <c r="AU840" t="s">
        <v>73</v>
      </c>
    </row>
    <row r="841" spans="1:47" x14ac:dyDescent="0.3">
      <c r="A841" t="s">
        <v>47</v>
      </c>
      <c r="B841" t="s">
        <v>182</v>
      </c>
      <c r="C841" t="s">
        <v>829</v>
      </c>
      <c r="D841">
        <v>9059</v>
      </c>
      <c r="E841" t="s">
        <v>1594</v>
      </c>
      <c r="F841" t="s">
        <v>1595</v>
      </c>
      <c r="G841" t="s">
        <v>1596</v>
      </c>
      <c r="H841" t="s">
        <v>1597</v>
      </c>
      <c r="I841" t="s">
        <v>54</v>
      </c>
      <c r="J841" t="s">
        <v>1598</v>
      </c>
      <c r="K841" t="s">
        <v>56</v>
      </c>
      <c r="L841">
        <v>0</v>
      </c>
      <c r="M841" t="s">
        <v>73</v>
      </c>
      <c r="N841">
        <v>0</v>
      </c>
      <c r="O841" t="s">
        <v>58</v>
      </c>
      <c r="P841" t="s">
        <v>59</v>
      </c>
      <c r="Q841" t="s">
        <v>60</v>
      </c>
      <c r="R841" t="s">
        <v>1598</v>
      </c>
      <c r="S841" s="1">
        <v>44397</v>
      </c>
      <c r="T841" s="1">
        <v>44399</v>
      </c>
      <c r="U841">
        <v>37501</v>
      </c>
      <c r="V841" t="s">
        <v>61</v>
      </c>
      <c r="W841" t="s">
        <v>1599</v>
      </c>
      <c r="X841" s="1">
        <v>44404</v>
      </c>
      <c r="Y841" t="s">
        <v>100</v>
      </c>
      <c r="Z841">
        <v>321.55</v>
      </c>
      <c r="AA841">
        <v>16</v>
      </c>
      <c r="AB841">
        <v>51.45</v>
      </c>
      <c r="AC841">
        <v>0</v>
      </c>
      <c r="AD841">
        <v>373</v>
      </c>
      <c r="AE841">
        <v>2321.06</v>
      </c>
      <c r="AF841">
        <v>2727</v>
      </c>
      <c r="AG841" t="s">
        <v>1605</v>
      </c>
      <c r="AH841" t="s">
        <v>65</v>
      </c>
      <c r="AI841" t="s">
        <v>65</v>
      </c>
      <c r="AJ841" t="s">
        <v>66</v>
      </c>
      <c r="AK841" t="s">
        <v>66</v>
      </c>
      <c r="AL841" t="s">
        <v>66</v>
      </c>
      <c r="AM841" s="2" t="str">
        <f>HYPERLINK("https://transparencia.cidesi.mx/comprobantes/2021/CQ2100559 /C5dbd01d3d-cb7d-4138-8d93-88c8b01dbc85.xml")</f>
        <v>https://transparencia.cidesi.mx/comprobantes/2021/CQ2100559 /C5dbd01d3d-cb7d-4138-8d93-88c8b01dbc85.xml</v>
      </c>
      <c r="AN841" t="str">
        <f>HYPERLINK("https://transparencia.cidesi.mx/comprobantes/2021/CQ2100559 /C5dbd01d3d-cb7d-4138-8d93-88c8b01dbc85.xml")</f>
        <v>https://transparencia.cidesi.mx/comprobantes/2021/CQ2100559 /C5dbd01d3d-cb7d-4138-8d93-88c8b01dbc85.xml</v>
      </c>
      <c r="AO841" t="str">
        <f>HYPERLINK("https://transparencia.cidesi.mx/comprobantes/2021/CQ2100559 /C5dbd01d3d-cb7d-4138-8d93-88c8b01dbc85.xml")</f>
        <v>https://transparencia.cidesi.mx/comprobantes/2021/CQ2100559 /C5dbd01d3d-cb7d-4138-8d93-88c8b01dbc85.xml</v>
      </c>
      <c r="AP841" t="s">
        <v>1598</v>
      </c>
      <c r="AQ841" t="s">
        <v>1601</v>
      </c>
      <c r="AR841" t="s">
        <v>1602</v>
      </c>
      <c r="AS841" t="s">
        <v>1603</v>
      </c>
      <c r="AT841" s="1">
        <v>44407</v>
      </c>
      <c r="AU841" t="s">
        <v>73</v>
      </c>
    </row>
    <row r="842" spans="1:47" x14ac:dyDescent="0.3">
      <c r="A842" t="s">
        <v>47</v>
      </c>
      <c r="B842" t="s">
        <v>182</v>
      </c>
      <c r="C842" t="s">
        <v>829</v>
      </c>
      <c r="D842">
        <v>9059</v>
      </c>
      <c r="E842" t="s">
        <v>1594</v>
      </c>
      <c r="F842" t="s">
        <v>1595</v>
      </c>
      <c r="G842" t="s">
        <v>1596</v>
      </c>
      <c r="H842" t="s">
        <v>1606</v>
      </c>
      <c r="I842" t="s">
        <v>54</v>
      </c>
      <c r="J842" t="s">
        <v>1607</v>
      </c>
      <c r="K842" t="s">
        <v>56</v>
      </c>
      <c r="L842">
        <v>0</v>
      </c>
      <c r="M842" t="s">
        <v>73</v>
      </c>
      <c r="N842">
        <v>0</v>
      </c>
      <c r="O842" t="s">
        <v>58</v>
      </c>
      <c r="P842" t="s">
        <v>59</v>
      </c>
      <c r="Q842" t="s">
        <v>60</v>
      </c>
      <c r="R842" t="s">
        <v>1607</v>
      </c>
      <c r="S842" s="1">
        <v>44399</v>
      </c>
      <c r="T842" s="1">
        <v>44400</v>
      </c>
      <c r="U842">
        <v>37501</v>
      </c>
      <c r="V842" t="s">
        <v>104</v>
      </c>
      <c r="W842" t="s">
        <v>1608</v>
      </c>
      <c r="X842" s="1">
        <v>44404</v>
      </c>
      <c r="Y842" t="s">
        <v>63</v>
      </c>
      <c r="Z842">
        <v>459.04</v>
      </c>
      <c r="AA842">
        <v>16</v>
      </c>
      <c r="AB842">
        <v>70.959999999999994</v>
      </c>
      <c r="AC842">
        <v>0</v>
      </c>
      <c r="AD842">
        <v>530</v>
      </c>
      <c r="AE842">
        <v>735</v>
      </c>
      <c r="AF842">
        <v>1636</v>
      </c>
      <c r="AG842" t="s">
        <v>1600</v>
      </c>
      <c r="AH842" t="s">
        <v>65</v>
      </c>
      <c r="AI842" t="s">
        <v>65</v>
      </c>
      <c r="AJ842" t="s">
        <v>66</v>
      </c>
      <c r="AK842" t="s">
        <v>66</v>
      </c>
      <c r="AL842" t="s">
        <v>66</v>
      </c>
      <c r="AM842" s="2" t="str">
        <f>HYPERLINK("https://transparencia.cidesi.mx/comprobantes/2021/CQ2100560 /C1FFX121005C6A-23-07-2021033657223-F1XSUR155605.xml")</f>
        <v>https://transparencia.cidesi.mx/comprobantes/2021/CQ2100560 /C1FFX121005C6A-23-07-2021033657223-F1XSUR155605.xml</v>
      </c>
      <c r="AN842" t="str">
        <f>HYPERLINK("https://transparencia.cidesi.mx/comprobantes/2021/CQ2100560 /C1FFX121005C6A-23-07-2021033657223-F1XSUR155605.xml")</f>
        <v>https://transparencia.cidesi.mx/comprobantes/2021/CQ2100560 /C1FFX121005C6A-23-07-2021033657223-F1XSUR155605.xml</v>
      </c>
      <c r="AO842" t="str">
        <f>HYPERLINK("https://transparencia.cidesi.mx/comprobantes/2021/CQ2100560 /C1FFX121005C6A-23-07-2021033657223-F1XSUR155605.xml")</f>
        <v>https://transparencia.cidesi.mx/comprobantes/2021/CQ2100560 /C1FFX121005C6A-23-07-2021033657223-F1XSUR155605.xml</v>
      </c>
      <c r="AP842" t="s">
        <v>1609</v>
      </c>
      <c r="AQ842" t="s">
        <v>1610</v>
      </c>
      <c r="AR842" t="s">
        <v>1611</v>
      </c>
      <c r="AS842" t="s">
        <v>1612</v>
      </c>
      <c r="AT842" s="1">
        <v>44410</v>
      </c>
      <c r="AU842" s="1">
        <v>44424</v>
      </c>
    </row>
    <row r="843" spans="1:47" x14ac:dyDescent="0.3">
      <c r="A843" t="s">
        <v>47</v>
      </c>
      <c r="B843" t="s">
        <v>182</v>
      </c>
      <c r="C843" t="s">
        <v>829</v>
      </c>
      <c r="D843">
        <v>9059</v>
      </c>
      <c r="E843" t="s">
        <v>1594</v>
      </c>
      <c r="F843" t="s">
        <v>1595</v>
      </c>
      <c r="G843" t="s">
        <v>1596</v>
      </c>
      <c r="H843" t="s">
        <v>1606</v>
      </c>
      <c r="I843" t="s">
        <v>54</v>
      </c>
      <c r="J843" t="s">
        <v>1607</v>
      </c>
      <c r="K843" t="s">
        <v>56</v>
      </c>
      <c r="L843">
        <v>0</v>
      </c>
      <c r="M843" t="s">
        <v>73</v>
      </c>
      <c r="N843">
        <v>0</v>
      </c>
      <c r="O843" t="s">
        <v>58</v>
      </c>
      <c r="P843" t="s">
        <v>59</v>
      </c>
      <c r="Q843" t="s">
        <v>60</v>
      </c>
      <c r="R843" t="s">
        <v>1607</v>
      </c>
      <c r="S843" s="1">
        <v>44399</v>
      </c>
      <c r="T843" s="1">
        <v>44400</v>
      </c>
      <c r="U843">
        <v>37501</v>
      </c>
      <c r="V843" t="s">
        <v>61</v>
      </c>
      <c r="W843" t="s">
        <v>1608</v>
      </c>
      <c r="X843" s="1">
        <v>44404</v>
      </c>
      <c r="Y843" t="s">
        <v>63</v>
      </c>
      <c r="Z843">
        <v>150.86000000000001</v>
      </c>
      <c r="AA843">
        <v>16</v>
      </c>
      <c r="AB843">
        <v>24.14</v>
      </c>
      <c r="AC843">
        <v>0</v>
      </c>
      <c r="AD843">
        <v>175</v>
      </c>
      <c r="AE843">
        <v>735</v>
      </c>
      <c r="AF843">
        <v>1636</v>
      </c>
      <c r="AG843" t="s">
        <v>1605</v>
      </c>
      <c r="AH843" t="s">
        <v>65</v>
      </c>
      <c r="AI843" t="s">
        <v>65</v>
      </c>
      <c r="AJ843" t="s">
        <v>66</v>
      </c>
      <c r="AK843" t="s">
        <v>66</v>
      </c>
      <c r="AL843" t="s">
        <v>66</v>
      </c>
      <c r="AM843" s="2" t="str">
        <f>HYPERLINK("https://transparencia.cidesi.mx/comprobantes/2021/CQ2100560 /C2PESF6412036E6_PRT_9980.xml")</f>
        <v>https://transparencia.cidesi.mx/comprobantes/2021/CQ2100560 /C2PESF6412036E6_PRT_9980.xml</v>
      </c>
      <c r="AN843" t="str">
        <f>HYPERLINK("https://transparencia.cidesi.mx/comprobantes/2021/CQ2100560 /C2PESF6412036E6_PRT_9980.xml")</f>
        <v>https://transparencia.cidesi.mx/comprobantes/2021/CQ2100560 /C2PESF6412036E6_PRT_9980.xml</v>
      </c>
      <c r="AO843" t="str">
        <f>HYPERLINK("https://transparencia.cidesi.mx/comprobantes/2021/CQ2100560 /C2PESF6412036E6_PRT_9980.xml")</f>
        <v>https://transparencia.cidesi.mx/comprobantes/2021/CQ2100560 /C2PESF6412036E6_PRT_9980.xml</v>
      </c>
      <c r="AP843" t="s">
        <v>1609</v>
      </c>
      <c r="AQ843" t="s">
        <v>1610</v>
      </c>
      <c r="AR843" t="s">
        <v>1611</v>
      </c>
      <c r="AS843" t="s">
        <v>1612</v>
      </c>
      <c r="AT843" s="1">
        <v>44410</v>
      </c>
      <c r="AU843" s="1">
        <v>44424</v>
      </c>
    </row>
    <row r="844" spans="1:47" x14ac:dyDescent="0.3">
      <c r="A844" t="s">
        <v>47</v>
      </c>
      <c r="B844" t="s">
        <v>182</v>
      </c>
      <c r="C844" t="s">
        <v>829</v>
      </c>
      <c r="D844">
        <v>9059</v>
      </c>
      <c r="E844" t="s">
        <v>1594</v>
      </c>
      <c r="F844" t="s">
        <v>1595</v>
      </c>
      <c r="G844" t="s">
        <v>1596</v>
      </c>
      <c r="H844" t="s">
        <v>1606</v>
      </c>
      <c r="I844" t="s">
        <v>54</v>
      </c>
      <c r="J844" t="s">
        <v>1607</v>
      </c>
      <c r="K844" t="s">
        <v>56</v>
      </c>
      <c r="L844">
        <v>0</v>
      </c>
      <c r="M844" t="s">
        <v>73</v>
      </c>
      <c r="N844">
        <v>0</v>
      </c>
      <c r="O844" t="s">
        <v>58</v>
      </c>
      <c r="P844" t="s">
        <v>59</v>
      </c>
      <c r="Q844" t="s">
        <v>60</v>
      </c>
      <c r="R844" t="s">
        <v>1607</v>
      </c>
      <c r="S844" s="1">
        <v>44399</v>
      </c>
      <c r="T844" s="1">
        <v>44400</v>
      </c>
      <c r="U844">
        <v>37501</v>
      </c>
      <c r="V844" t="s">
        <v>61</v>
      </c>
      <c r="W844" t="s">
        <v>1608</v>
      </c>
      <c r="X844" s="1">
        <v>44404</v>
      </c>
      <c r="Y844" t="s">
        <v>63</v>
      </c>
      <c r="Z844">
        <v>30</v>
      </c>
      <c r="AA844">
        <v>0</v>
      </c>
      <c r="AB844">
        <v>0</v>
      </c>
      <c r="AC844">
        <v>0</v>
      </c>
      <c r="AD844">
        <v>30</v>
      </c>
      <c r="AE844">
        <v>735</v>
      </c>
      <c r="AF844">
        <v>1636</v>
      </c>
      <c r="AG844" t="s">
        <v>1605</v>
      </c>
      <c r="AH844" t="s">
        <v>65</v>
      </c>
      <c r="AI844" t="s">
        <v>65</v>
      </c>
      <c r="AJ844" t="s">
        <v>66</v>
      </c>
      <c r="AK844" t="s">
        <v>66</v>
      </c>
      <c r="AL844" t="s">
        <v>66</v>
      </c>
      <c r="AM844" s="2" t="str">
        <f>HYPERLINK("https://transparencia.cidesi.mx/comprobantes/2021/CQ2100560 /C3RPM170315DQ5_POR-T_11163.xml")</f>
        <v>https://transparencia.cidesi.mx/comprobantes/2021/CQ2100560 /C3RPM170315DQ5_POR-T_11163.xml</v>
      </c>
      <c r="AN844" t="str">
        <f>HYPERLINK("https://transparencia.cidesi.mx/comprobantes/2021/CQ2100560 /C3RPM170315DQ5_POR-T_11163.xml")</f>
        <v>https://transparencia.cidesi.mx/comprobantes/2021/CQ2100560 /C3RPM170315DQ5_POR-T_11163.xml</v>
      </c>
      <c r="AO844" t="str">
        <f>HYPERLINK("https://transparencia.cidesi.mx/comprobantes/2021/CQ2100560 /C3RPM170315DQ5_POR-T_11163.xml")</f>
        <v>https://transparencia.cidesi.mx/comprobantes/2021/CQ2100560 /C3RPM170315DQ5_POR-T_11163.xml</v>
      </c>
      <c r="AP844" t="s">
        <v>1609</v>
      </c>
      <c r="AQ844" t="s">
        <v>1610</v>
      </c>
      <c r="AR844" t="s">
        <v>1611</v>
      </c>
      <c r="AS844" t="s">
        <v>1612</v>
      </c>
      <c r="AT844" s="1">
        <v>44410</v>
      </c>
      <c r="AU844" s="1">
        <v>44424</v>
      </c>
    </row>
    <row r="845" spans="1:47" x14ac:dyDescent="0.3">
      <c r="A845" t="s">
        <v>47</v>
      </c>
      <c r="B845" t="s">
        <v>182</v>
      </c>
      <c r="C845" t="s">
        <v>829</v>
      </c>
      <c r="D845">
        <v>9059</v>
      </c>
      <c r="E845" t="s">
        <v>1594</v>
      </c>
      <c r="F845" t="s">
        <v>1595</v>
      </c>
      <c r="G845" t="s">
        <v>1596</v>
      </c>
      <c r="H845" t="s">
        <v>1613</v>
      </c>
      <c r="I845" t="s">
        <v>54</v>
      </c>
      <c r="J845" t="s">
        <v>1614</v>
      </c>
      <c r="K845" t="s">
        <v>56</v>
      </c>
      <c r="L845">
        <v>0</v>
      </c>
      <c r="M845" t="s">
        <v>73</v>
      </c>
      <c r="N845">
        <v>0</v>
      </c>
      <c r="O845" t="s">
        <v>58</v>
      </c>
      <c r="P845" t="s">
        <v>59</v>
      </c>
      <c r="Q845" t="s">
        <v>60</v>
      </c>
      <c r="R845" t="s">
        <v>1614</v>
      </c>
      <c r="S845" s="1">
        <v>44403</v>
      </c>
      <c r="T845" s="1">
        <v>44406</v>
      </c>
      <c r="U845">
        <v>37501</v>
      </c>
      <c r="V845" t="s">
        <v>61</v>
      </c>
      <c r="W845" t="s">
        <v>1615</v>
      </c>
      <c r="X845" s="1">
        <v>44410</v>
      </c>
      <c r="Y845" t="s">
        <v>63</v>
      </c>
      <c r="Z845">
        <v>314.66000000000003</v>
      </c>
      <c r="AA845">
        <v>16</v>
      </c>
      <c r="AB845">
        <v>50.34</v>
      </c>
      <c r="AC845">
        <v>0</v>
      </c>
      <c r="AD845">
        <v>365</v>
      </c>
      <c r="AE845">
        <v>3856.63</v>
      </c>
      <c r="AF845">
        <v>3818</v>
      </c>
      <c r="AG845" t="s">
        <v>1605</v>
      </c>
      <c r="AH845" t="s">
        <v>65</v>
      </c>
      <c r="AI845" t="s">
        <v>65</v>
      </c>
      <c r="AJ845" t="s">
        <v>66</v>
      </c>
      <c r="AK845" t="s">
        <v>66</v>
      </c>
      <c r="AL845" t="s">
        <v>66</v>
      </c>
      <c r="AM845" s="2" t="str">
        <f>HYPERLINK("https://transparencia.cidesi.mx/comprobantes/2021/CQ2100583 /C169439855.xml")</f>
        <v>https://transparencia.cidesi.mx/comprobantes/2021/CQ2100583 /C169439855.xml</v>
      </c>
      <c r="AN845" t="str">
        <f>HYPERLINK("https://transparencia.cidesi.mx/comprobantes/2021/CQ2100583 /C169439855.xml")</f>
        <v>https://transparencia.cidesi.mx/comprobantes/2021/CQ2100583 /C169439855.xml</v>
      </c>
      <c r="AO845" t="str">
        <f>HYPERLINK("https://transparencia.cidesi.mx/comprobantes/2021/CQ2100583 /C169439855.xml")</f>
        <v>https://transparencia.cidesi.mx/comprobantes/2021/CQ2100583 /C169439855.xml</v>
      </c>
      <c r="AP845" t="s">
        <v>1616</v>
      </c>
      <c r="AQ845" t="s">
        <v>1617</v>
      </c>
      <c r="AR845" t="s">
        <v>1618</v>
      </c>
      <c r="AS845" t="s">
        <v>1619</v>
      </c>
      <c r="AT845" s="1">
        <v>44414</v>
      </c>
      <c r="AU845" s="1">
        <v>44433</v>
      </c>
    </row>
    <row r="846" spans="1:47" x14ac:dyDescent="0.3">
      <c r="A846" t="s">
        <v>47</v>
      </c>
      <c r="B846" t="s">
        <v>182</v>
      </c>
      <c r="C846" t="s">
        <v>829</v>
      </c>
      <c r="D846">
        <v>9059</v>
      </c>
      <c r="E846" t="s">
        <v>1594</v>
      </c>
      <c r="F846" t="s">
        <v>1595</v>
      </c>
      <c r="G846" t="s">
        <v>1596</v>
      </c>
      <c r="H846" t="s">
        <v>1613</v>
      </c>
      <c r="I846" t="s">
        <v>54</v>
      </c>
      <c r="J846" t="s">
        <v>1614</v>
      </c>
      <c r="K846" t="s">
        <v>56</v>
      </c>
      <c r="L846">
        <v>0</v>
      </c>
      <c r="M846" t="s">
        <v>73</v>
      </c>
      <c r="N846">
        <v>0</v>
      </c>
      <c r="O846" t="s">
        <v>58</v>
      </c>
      <c r="P846" t="s">
        <v>59</v>
      </c>
      <c r="Q846" t="s">
        <v>60</v>
      </c>
      <c r="R846" t="s">
        <v>1614</v>
      </c>
      <c r="S846" s="1">
        <v>44403</v>
      </c>
      <c r="T846" s="1">
        <v>44406</v>
      </c>
      <c r="U846">
        <v>37501</v>
      </c>
      <c r="V846" t="s">
        <v>1009</v>
      </c>
      <c r="W846" t="s">
        <v>1615</v>
      </c>
      <c r="X846" s="1">
        <v>44410</v>
      </c>
      <c r="Y846" t="s">
        <v>63</v>
      </c>
      <c r="Z846">
        <v>203.1</v>
      </c>
      <c r="AA846">
        <v>16</v>
      </c>
      <c r="AB846">
        <v>32.5</v>
      </c>
      <c r="AC846">
        <v>0</v>
      </c>
      <c r="AD846">
        <v>235.6</v>
      </c>
      <c r="AE846">
        <v>3856.63</v>
      </c>
      <c r="AF846">
        <v>3818</v>
      </c>
      <c r="AG846" t="s">
        <v>1620</v>
      </c>
      <c r="AH846" t="s">
        <v>66</v>
      </c>
      <c r="AI846" t="s">
        <v>65</v>
      </c>
      <c r="AJ846" t="s">
        <v>66</v>
      </c>
      <c r="AK846" t="s">
        <v>66</v>
      </c>
      <c r="AL846" t="s">
        <v>66</v>
      </c>
      <c r="AM846" s="2" t="str">
        <f>HYPERLINK("https://transparencia.cidesi.mx/comprobantes/2021/CQ2100583 /C2FHO121005EFA-28-07-2021142320991-S1XSUR155793.xml")</f>
        <v>https://transparencia.cidesi.mx/comprobantes/2021/CQ2100583 /C2FHO121005EFA-28-07-2021142320991-S1XSUR155793.xml</v>
      </c>
      <c r="AN846" t="str">
        <f>HYPERLINK("https://transparencia.cidesi.mx/comprobantes/2021/CQ2100583 /C2FHO121005EFA-28-07-2021142320991-S1XSUR155793.xml")</f>
        <v>https://transparencia.cidesi.mx/comprobantes/2021/CQ2100583 /C2FHO121005EFA-28-07-2021142320991-S1XSUR155793.xml</v>
      </c>
      <c r="AO846" t="str">
        <f>HYPERLINK("https://transparencia.cidesi.mx/comprobantes/2021/CQ2100583 /C2FHO121005EFA-28-07-2021142320991-S1XSUR155793.xml")</f>
        <v>https://transparencia.cidesi.mx/comprobantes/2021/CQ2100583 /C2FHO121005EFA-28-07-2021142320991-S1XSUR155793.xml</v>
      </c>
      <c r="AP846" t="s">
        <v>1616</v>
      </c>
      <c r="AQ846" t="s">
        <v>1617</v>
      </c>
      <c r="AR846" t="s">
        <v>1618</v>
      </c>
      <c r="AS846" t="s">
        <v>1619</v>
      </c>
      <c r="AT846" s="1">
        <v>44414</v>
      </c>
      <c r="AU846" s="1">
        <v>44433</v>
      </c>
    </row>
    <row r="847" spans="1:47" x14ac:dyDescent="0.3">
      <c r="A847" t="s">
        <v>47</v>
      </c>
      <c r="B847" t="s">
        <v>182</v>
      </c>
      <c r="C847" t="s">
        <v>829</v>
      </c>
      <c r="D847">
        <v>9059</v>
      </c>
      <c r="E847" t="s">
        <v>1594</v>
      </c>
      <c r="F847" t="s">
        <v>1595</v>
      </c>
      <c r="G847" t="s">
        <v>1596</v>
      </c>
      <c r="H847" t="s">
        <v>1613</v>
      </c>
      <c r="I847" t="s">
        <v>54</v>
      </c>
      <c r="J847" t="s">
        <v>1614</v>
      </c>
      <c r="K847" t="s">
        <v>56</v>
      </c>
      <c r="L847">
        <v>0</v>
      </c>
      <c r="M847" t="s">
        <v>73</v>
      </c>
      <c r="N847">
        <v>0</v>
      </c>
      <c r="O847" t="s">
        <v>58</v>
      </c>
      <c r="P847" t="s">
        <v>59</v>
      </c>
      <c r="Q847" t="s">
        <v>60</v>
      </c>
      <c r="R847" t="s">
        <v>1614</v>
      </c>
      <c r="S847" s="1">
        <v>44403</v>
      </c>
      <c r="T847" s="1">
        <v>44406</v>
      </c>
      <c r="U847">
        <v>37501</v>
      </c>
      <c r="V847" t="s">
        <v>104</v>
      </c>
      <c r="W847" t="s">
        <v>1615</v>
      </c>
      <c r="X847" s="1">
        <v>44410</v>
      </c>
      <c r="Y847" t="s">
        <v>63</v>
      </c>
      <c r="Z847">
        <v>2820.08</v>
      </c>
      <c r="AA847">
        <v>16</v>
      </c>
      <c r="AB847">
        <v>435.95</v>
      </c>
      <c r="AC847">
        <v>0</v>
      </c>
      <c r="AD847">
        <v>3256.03</v>
      </c>
      <c r="AE847">
        <v>3856.63</v>
      </c>
      <c r="AF847">
        <v>3818</v>
      </c>
      <c r="AG847" t="s">
        <v>1600</v>
      </c>
      <c r="AH847" t="s">
        <v>65</v>
      </c>
      <c r="AI847" t="s">
        <v>65</v>
      </c>
      <c r="AJ847" t="s">
        <v>66</v>
      </c>
      <c r="AK847" t="s">
        <v>66</v>
      </c>
      <c r="AL847" t="s">
        <v>66</v>
      </c>
      <c r="AM847" s="2" t="str">
        <f>HYPERLINK("https://transparencia.cidesi.mx/comprobantes/2021/CQ2100583 /C3FFX121005C6A-28-07-2021142421065-F1XSUR155794.xml")</f>
        <v>https://transparencia.cidesi.mx/comprobantes/2021/CQ2100583 /C3FFX121005C6A-28-07-2021142421065-F1XSUR155794.xml</v>
      </c>
      <c r="AN847" t="str">
        <f>HYPERLINK("https://transparencia.cidesi.mx/comprobantes/2021/CQ2100583 /C3FFX121005C6A-28-07-2021142421065-F1XSUR155794.xml")</f>
        <v>https://transparencia.cidesi.mx/comprobantes/2021/CQ2100583 /C3FFX121005C6A-28-07-2021142421065-F1XSUR155794.xml</v>
      </c>
      <c r="AO847" t="str">
        <f>HYPERLINK("https://transparencia.cidesi.mx/comprobantes/2021/CQ2100583 /C3FFX121005C6A-28-07-2021142421065-F1XSUR155794.xml")</f>
        <v>https://transparencia.cidesi.mx/comprobantes/2021/CQ2100583 /C3FFX121005C6A-28-07-2021142421065-F1XSUR155794.xml</v>
      </c>
      <c r="AP847" t="s">
        <v>1616</v>
      </c>
      <c r="AQ847" t="s">
        <v>1617</v>
      </c>
      <c r="AR847" t="s">
        <v>1618</v>
      </c>
      <c r="AS847" t="s">
        <v>1619</v>
      </c>
      <c r="AT847" s="1">
        <v>44414</v>
      </c>
      <c r="AU847" s="1">
        <v>44433</v>
      </c>
    </row>
    <row r="848" spans="1:47" x14ac:dyDescent="0.3">
      <c r="A848" t="s">
        <v>47</v>
      </c>
      <c r="B848" t="s">
        <v>182</v>
      </c>
      <c r="C848" t="s">
        <v>829</v>
      </c>
      <c r="D848">
        <v>9059</v>
      </c>
      <c r="E848" t="s">
        <v>1594</v>
      </c>
      <c r="F848" t="s">
        <v>1595</v>
      </c>
      <c r="G848" t="s">
        <v>1596</v>
      </c>
      <c r="H848" t="s">
        <v>1621</v>
      </c>
      <c r="I848" t="s">
        <v>54</v>
      </c>
      <c r="J848" t="s">
        <v>1355</v>
      </c>
      <c r="K848" t="s">
        <v>56</v>
      </c>
      <c r="L848">
        <v>0</v>
      </c>
      <c r="M848" t="s">
        <v>73</v>
      </c>
      <c r="N848">
        <v>0</v>
      </c>
      <c r="O848" t="s">
        <v>58</v>
      </c>
      <c r="P848" t="s">
        <v>59</v>
      </c>
      <c r="Q848" t="s">
        <v>60</v>
      </c>
      <c r="R848" t="s">
        <v>1355</v>
      </c>
      <c r="S848" s="1">
        <v>44408</v>
      </c>
      <c r="T848" s="1">
        <v>44408</v>
      </c>
      <c r="U848">
        <v>37501</v>
      </c>
      <c r="V848" t="s">
        <v>61</v>
      </c>
      <c r="W848" t="s">
        <v>1622</v>
      </c>
      <c r="X848" s="1">
        <v>44433</v>
      </c>
      <c r="Y848" t="s">
        <v>100</v>
      </c>
      <c r="Z848">
        <v>467.34</v>
      </c>
      <c r="AA848">
        <v>16</v>
      </c>
      <c r="AB848">
        <v>77.66</v>
      </c>
      <c r="AC848">
        <v>0</v>
      </c>
      <c r="AD848">
        <v>545</v>
      </c>
      <c r="AE848">
        <v>545</v>
      </c>
      <c r="AF848">
        <v>545</v>
      </c>
      <c r="AG848" t="s">
        <v>1605</v>
      </c>
      <c r="AH848" t="s">
        <v>65</v>
      </c>
      <c r="AI848" t="s">
        <v>65</v>
      </c>
      <c r="AJ848" t="s">
        <v>66</v>
      </c>
      <c r="AK848" t="s">
        <v>66</v>
      </c>
      <c r="AL848" t="s">
        <v>66</v>
      </c>
      <c r="AM848" s="2" t="str">
        <f>HYPERLINK("https://transparencia.cidesi.mx/comprobantes/2021/CQ2100690 /C169440731.xml")</f>
        <v>https://transparencia.cidesi.mx/comprobantes/2021/CQ2100690 /C169440731.xml</v>
      </c>
      <c r="AN848" t="str">
        <f>HYPERLINK("https://transparencia.cidesi.mx/comprobantes/2021/CQ2100690 /C169440731.xml")</f>
        <v>https://transparencia.cidesi.mx/comprobantes/2021/CQ2100690 /C169440731.xml</v>
      </c>
      <c r="AO848" t="str">
        <f>HYPERLINK("https://transparencia.cidesi.mx/comprobantes/2021/CQ2100690 /C169440731.xml")</f>
        <v>https://transparencia.cidesi.mx/comprobantes/2021/CQ2100690 /C169440731.xml</v>
      </c>
      <c r="AP848" t="s">
        <v>1355</v>
      </c>
      <c r="AQ848" t="s">
        <v>1623</v>
      </c>
      <c r="AR848" t="s">
        <v>1624</v>
      </c>
      <c r="AS848" t="s">
        <v>1625</v>
      </c>
      <c r="AT848" s="1">
        <v>44435</v>
      </c>
      <c r="AU848" t="s">
        <v>73</v>
      </c>
    </row>
    <row r="849" spans="1:47" x14ac:dyDescent="0.3">
      <c r="A849" t="s">
        <v>47</v>
      </c>
      <c r="B849" t="s">
        <v>182</v>
      </c>
      <c r="C849" t="s">
        <v>829</v>
      </c>
      <c r="D849">
        <v>9059</v>
      </c>
      <c r="E849" t="s">
        <v>1594</v>
      </c>
      <c r="F849" t="s">
        <v>1595</v>
      </c>
      <c r="G849" t="s">
        <v>1596</v>
      </c>
      <c r="H849" t="s">
        <v>1626</v>
      </c>
      <c r="I849" t="s">
        <v>54</v>
      </c>
      <c r="J849" t="s">
        <v>1134</v>
      </c>
      <c r="K849" t="s">
        <v>56</v>
      </c>
      <c r="L849">
        <v>676</v>
      </c>
      <c r="M849" t="s">
        <v>1627</v>
      </c>
      <c r="N849">
        <v>0</v>
      </c>
      <c r="O849" t="s">
        <v>58</v>
      </c>
      <c r="P849" t="s">
        <v>59</v>
      </c>
      <c r="Q849" t="s">
        <v>1135</v>
      </c>
      <c r="R849" t="s">
        <v>1134</v>
      </c>
      <c r="S849" s="1">
        <v>44423</v>
      </c>
      <c r="T849" s="1">
        <v>44428</v>
      </c>
      <c r="U849">
        <v>37501</v>
      </c>
      <c r="V849" t="s">
        <v>61</v>
      </c>
      <c r="W849" t="s">
        <v>1628</v>
      </c>
      <c r="X849" s="1">
        <v>44431</v>
      </c>
      <c r="Y849" t="s">
        <v>63</v>
      </c>
      <c r="Z849">
        <v>0.1</v>
      </c>
      <c r="AA849">
        <v>0</v>
      </c>
      <c r="AB849">
        <v>0</v>
      </c>
      <c r="AC849">
        <v>0</v>
      </c>
      <c r="AD849">
        <v>0.1</v>
      </c>
      <c r="AE849">
        <v>0.1</v>
      </c>
      <c r="AF849">
        <v>8618</v>
      </c>
      <c r="AG849" t="s">
        <v>1605</v>
      </c>
      <c r="AH849" t="s">
        <v>66</v>
      </c>
      <c r="AI849" t="s">
        <v>66</v>
      </c>
      <c r="AJ849" t="s">
        <v>66</v>
      </c>
      <c r="AK849" t="s">
        <v>66</v>
      </c>
      <c r="AL849" t="s">
        <v>66</v>
      </c>
      <c r="AM849" s="2" t="s">
        <v>73</v>
      </c>
      <c r="AN849" t="s">
        <v>73</v>
      </c>
      <c r="AO849" t="s">
        <v>73</v>
      </c>
      <c r="AP849" t="s">
        <v>1629</v>
      </c>
      <c r="AQ849" t="s">
        <v>1629</v>
      </c>
      <c r="AR849" t="s">
        <v>1629</v>
      </c>
      <c r="AS849" t="s">
        <v>1629</v>
      </c>
      <c r="AT849" s="1">
        <v>44433</v>
      </c>
      <c r="AU849" s="1">
        <v>44434</v>
      </c>
    </row>
    <row r="850" spans="1:47" x14ac:dyDescent="0.3">
      <c r="A850" t="s">
        <v>47</v>
      </c>
      <c r="B850" t="s">
        <v>182</v>
      </c>
      <c r="C850" t="s">
        <v>829</v>
      </c>
      <c r="D850">
        <v>9059</v>
      </c>
      <c r="E850" t="s">
        <v>1594</v>
      </c>
      <c r="F850" t="s">
        <v>1595</v>
      </c>
      <c r="G850" t="s">
        <v>1596</v>
      </c>
      <c r="H850" t="s">
        <v>1630</v>
      </c>
      <c r="I850" t="s">
        <v>54</v>
      </c>
      <c r="J850" t="s">
        <v>1631</v>
      </c>
      <c r="K850" t="s">
        <v>56</v>
      </c>
      <c r="L850">
        <v>0</v>
      </c>
      <c r="M850" t="s">
        <v>73</v>
      </c>
      <c r="N850">
        <v>0</v>
      </c>
      <c r="O850" t="s">
        <v>58</v>
      </c>
      <c r="P850" t="s">
        <v>59</v>
      </c>
      <c r="Q850" t="s">
        <v>189</v>
      </c>
      <c r="R850" t="s">
        <v>1631</v>
      </c>
      <c r="S850" s="1">
        <v>44428</v>
      </c>
      <c r="T850" s="1">
        <v>44428</v>
      </c>
      <c r="U850">
        <v>37104</v>
      </c>
      <c r="V850" t="s">
        <v>471</v>
      </c>
      <c r="W850" t="s">
        <v>1632</v>
      </c>
      <c r="X850" s="1">
        <v>44432</v>
      </c>
      <c r="Y850" t="s">
        <v>63</v>
      </c>
      <c r="Z850">
        <v>4441.75</v>
      </c>
      <c r="AA850">
        <v>16</v>
      </c>
      <c r="AB850">
        <v>1556.25</v>
      </c>
      <c r="AC850">
        <v>0</v>
      </c>
      <c r="AD850">
        <v>5998</v>
      </c>
      <c r="AE850">
        <v>5998</v>
      </c>
      <c r="AF850">
        <v>0</v>
      </c>
      <c r="AG850" t="s">
        <v>1633</v>
      </c>
      <c r="AH850" t="s">
        <v>66</v>
      </c>
      <c r="AI850" t="s">
        <v>65</v>
      </c>
      <c r="AJ850" t="s">
        <v>66</v>
      </c>
      <c r="AK850" t="s">
        <v>66</v>
      </c>
      <c r="AL850" t="s">
        <v>66</v>
      </c>
      <c r="AM850" s="2" t="str">
        <f>HYPERLINK("https://transparencia.cidesi.mx/comprobantes/2021/CAQ210026 /C1CID840309UG7_Q8MYUS_144071293.pdf")</f>
        <v>https://transparencia.cidesi.mx/comprobantes/2021/CAQ210026 /C1CID840309UG7_Q8MYUS_144071293.pdf</v>
      </c>
      <c r="AN850" t="str">
        <f>HYPERLINK("https://transparencia.cidesi.mx/comprobantes/2021/CAQ210026 /C1CID840309UG7_Q8MYUS_144071293.pdf")</f>
        <v>https://transparencia.cidesi.mx/comprobantes/2021/CAQ210026 /C1CID840309UG7_Q8MYUS_144071293.pdf</v>
      </c>
      <c r="AO850" t="str">
        <f>HYPERLINK("https://transparencia.cidesi.mx/comprobantes/2021/CAQ210026 /C1CID840309UG7_Q8MYUS_144071293.xml")</f>
        <v>https://transparencia.cidesi.mx/comprobantes/2021/CAQ210026 /C1CID840309UG7_Q8MYUS_144071293.xml</v>
      </c>
      <c r="AP850" t="s">
        <v>1634</v>
      </c>
      <c r="AQ850" t="s">
        <v>1635</v>
      </c>
      <c r="AR850" t="s">
        <v>1636</v>
      </c>
      <c r="AS850" t="s">
        <v>1637</v>
      </c>
      <c r="AT850" s="1">
        <v>44433</v>
      </c>
      <c r="AU850" s="1">
        <v>44440</v>
      </c>
    </row>
    <row r="851" spans="1:47" x14ac:dyDescent="0.3">
      <c r="A851" t="s">
        <v>47</v>
      </c>
      <c r="B851" t="s">
        <v>224</v>
      </c>
      <c r="C851" t="s">
        <v>225</v>
      </c>
      <c r="D851">
        <v>9067</v>
      </c>
      <c r="E851" t="s">
        <v>1638</v>
      </c>
      <c r="F851" t="s">
        <v>1639</v>
      </c>
      <c r="G851" t="s">
        <v>1640</v>
      </c>
      <c r="H851" t="s">
        <v>1641</v>
      </c>
      <c r="I851" t="s">
        <v>54</v>
      </c>
      <c r="J851" t="s">
        <v>1642</v>
      </c>
      <c r="K851" t="s">
        <v>56</v>
      </c>
      <c r="L851">
        <v>0</v>
      </c>
      <c r="M851" t="s">
        <v>73</v>
      </c>
      <c r="N851">
        <v>0</v>
      </c>
      <c r="O851" t="s">
        <v>58</v>
      </c>
      <c r="P851" t="s">
        <v>59</v>
      </c>
      <c r="Q851" t="s">
        <v>216</v>
      </c>
      <c r="R851" t="s">
        <v>1642</v>
      </c>
      <c r="S851" s="1">
        <v>44392</v>
      </c>
      <c r="T851" s="1">
        <v>44392</v>
      </c>
      <c r="U851">
        <v>37501</v>
      </c>
      <c r="V851" t="s">
        <v>61</v>
      </c>
      <c r="W851" t="s">
        <v>1643</v>
      </c>
      <c r="X851" s="1">
        <v>44397</v>
      </c>
      <c r="Y851" t="s">
        <v>63</v>
      </c>
      <c r="Z851">
        <v>418.1</v>
      </c>
      <c r="AA851">
        <v>16</v>
      </c>
      <c r="AB851">
        <v>66.900000000000006</v>
      </c>
      <c r="AC851">
        <v>49</v>
      </c>
      <c r="AD851">
        <v>534</v>
      </c>
      <c r="AE851">
        <v>534</v>
      </c>
      <c r="AF851">
        <v>545</v>
      </c>
      <c r="AG851" t="s">
        <v>1644</v>
      </c>
      <c r="AH851" t="s">
        <v>65</v>
      </c>
      <c r="AI851" t="s">
        <v>65</v>
      </c>
      <c r="AJ851" t="s">
        <v>66</v>
      </c>
      <c r="AK851" t="s">
        <v>66</v>
      </c>
      <c r="AL851" t="s">
        <v>66</v>
      </c>
      <c r="AM851" s="2" t="str">
        <f>HYPERLINK("https://transparencia.cidesi.mx/comprobantes/2021/CQ2100531 /C1Grotto 15 Jul.pdf")</f>
        <v>https://transparencia.cidesi.mx/comprobantes/2021/CQ2100531 /C1Grotto 15 Jul.pdf</v>
      </c>
      <c r="AN851" t="str">
        <f>HYPERLINK("https://transparencia.cidesi.mx/comprobantes/2021/CQ2100531 /C1Grotto 15 Jul.pdf")</f>
        <v>https://transparencia.cidesi.mx/comprobantes/2021/CQ2100531 /C1Grotto 15 Jul.pdf</v>
      </c>
      <c r="AO851" t="str">
        <f>HYPERLINK("https://transparencia.cidesi.mx/comprobantes/2021/CQ2100531 /C1Grotto 15 Jul.xml")</f>
        <v>https://transparencia.cidesi.mx/comprobantes/2021/CQ2100531 /C1Grotto 15 Jul.xml</v>
      </c>
      <c r="AP851" t="s">
        <v>1645</v>
      </c>
      <c r="AQ851" t="s">
        <v>1645</v>
      </c>
      <c r="AR851" t="s">
        <v>1646</v>
      </c>
      <c r="AS851" t="s">
        <v>1646</v>
      </c>
      <c r="AT851" s="1">
        <v>44398</v>
      </c>
      <c r="AU851" s="1">
        <v>44399</v>
      </c>
    </row>
    <row r="852" spans="1:47" x14ac:dyDescent="0.3">
      <c r="A852" t="s">
        <v>47</v>
      </c>
      <c r="B852" t="s">
        <v>224</v>
      </c>
      <c r="C852" t="s">
        <v>225</v>
      </c>
      <c r="D852">
        <v>9067</v>
      </c>
      <c r="E852" t="s">
        <v>1638</v>
      </c>
      <c r="F852" t="s">
        <v>1639</v>
      </c>
      <c r="G852" t="s">
        <v>1640</v>
      </c>
      <c r="H852" t="s">
        <v>1647</v>
      </c>
      <c r="I852" t="s">
        <v>54</v>
      </c>
      <c r="J852" t="s">
        <v>1648</v>
      </c>
      <c r="K852" t="s">
        <v>56</v>
      </c>
      <c r="L852">
        <v>0</v>
      </c>
      <c r="M852" t="s">
        <v>73</v>
      </c>
      <c r="N852">
        <v>0</v>
      </c>
      <c r="O852" t="s">
        <v>58</v>
      </c>
      <c r="P852" t="s">
        <v>59</v>
      </c>
      <c r="Q852" t="s">
        <v>216</v>
      </c>
      <c r="R852" t="s">
        <v>1648</v>
      </c>
      <c r="S852" s="1">
        <v>44393</v>
      </c>
      <c r="T852" s="1">
        <v>44393</v>
      </c>
      <c r="U852">
        <v>37501</v>
      </c>
      <c r="V852" t="s">
        <v>61</v>
      </c>
      <c r="W852" t="s">
        <v>1649</v>
      </c>
      <c r="X852" s="1">
        <v>44397</v>
      </c>
      <c r="Y852" t="s">
        <v>63</v>
      </c>
      <c r="Z852">
        <v>317.24</v>
      </c>
      <c r="AA852">
        <v>16</v>
      </c>
      <c r="AB852">
        <v>50.76</v>
      </c>
      <c r="AC852">
        <v>37</v>
      </c>
      <c r="AD852">
        <v>405</v>
      </c>
      <c r="AE852">
        <v>529</v>
      </c>
      <c r="AF852">
        <v>545</v>
      </c>
      <c r="AG852" t="s">
        <v>1644</v>
      </c>
      <c r="AH852" t="s">
        <v>65</v>
      </c>
      <c r="AI852" t="s">
        <v>65</v>
      </c>
      <c r="AJ852" t="s">
        <v>66</v>
      </c>
      <c r="AK852" t="s">
        <v>66</v>
      </c>
      <c r="AL852" t="s">
        <v>66</v>
      </c>
      <c r="AM852" s="2" t="str">
        <f>HYPERLINK("https://transparencia.cidesi.mx/comprobantes/2021/CQ2100532 /C1Fogón 16 Jul.pdf")</f>
        <v>https://transparencia.cidesi.mx/comprobantes/2021/CQ2100532 /C1Fogón 16 Jul.pdf</v>
      </c>
      <c r="AN852" t="str">
        <f>HYPERLINK("https://transparencia.cidesi.mx/comprobantes/2021/CQ2100532 /C1Fogón 16 Jul.pdf")</f>
        <v>https://transparencia.cidesi.mx/comprobantes/2021/CQ2100532 /C1Fogón 16 Jul.pdf</v>
      </c>
      <c r="AO852" t="str">
        <f>HYPERLINK("https://transparencia.cidesi.mx/comprobantes/2021/CQ2100532 /C1Fogón 16 Jul.xml")</f>
        <v>https://transparencia.cidesi.mx/comprobantes/2021/CQ2100532 /C1Fogón 16 Jul.xml</v>
      </c>
      <c r="AP852" t="s">
        <v>1650</v>
      </c>
      <c r="AQ852" t="s">
        <v>1650</v>
      </c>
      <c r="AR852" t="s">
        <v>1646</v>
      </c>
      <c r="AS852" t="s">
        <v>1646</v>
      </c>
      <c r="AT852" s="1">
        <v>44398</v>
      </c>
      <c r="AU852" s="1">
        <v>44399</v>
      </c>
    </row>
    <row r="853" spans="1:47" x14ac:dyDescent="0.3">
      <c r="A853" t="s">
        <v>47</v>
      </c>
      <c r="B853" t="s">
        <v>224</v>
      </c>
      <c r="C853" t="s">
        <v>225</v>
      </c>
      <c r="D853">
        <v>9067</v>
      </c>
      <c r="E853" t="s">
        <v>1638</v>
      </c>
      <c r="F853" t="s">
        <v>1639</v>
      </c>
      <c r="G853" t="s">
        <v>1640</v>
      </c>
      <c r="H853" t="s">
        <v>1647</v>
      </c>
      <c r="I853" t="s">
        <v>54</v>
      </c>
      <c r="J853" t="s">
        <v>1648</v>
      </c>
      <c r="K853" t="s">
        <v>56</v>
      </c>
      <c r="L853">
        <v>0</v>
      </c>
      <c r="M853" t="s">
        <v>73</v>
      </c>
      <c r="N853">
        <v>0</v>
      </c>
      <c r="O853" t="s">
        <v>58</v>
      </c>
      <c r="P853" t="s">
        <v>59</v>
      </c>
      <c r="Q853" t="s">
        <v>216</v>
      </c>
      <c r="R853" t="s">
        <v>1648</v>
      </c>
      <c r="S853" s="1">
        <v>44393</v>
      </c>
      <c r="T853" s="1">
        <v>44393</v>
      </c>
      <c r="U853">
        <v>37501</v>
      </c>
      <c r="V853" t="s">
        <v>61</v>
      </c>
      <c r="W853" t="s">
        <v>1649</v>
      </c>
      <c r="X853" s="1">
        <v>44397</v>
      </c>
      <c r="Y853" t="s">
        <v>63</v>
      </c>
      <c r="Z853">
        <v>121.24</v>
      </c>
      <c r="AA853">
        <v>16</v>
      </c>
      <c r="AB853">
        <v>2.76</v>
      </c>
      <c r="AC853">
        <v>0</v>
      </c>
      <c r="AD853">
        <v>124</v>
      </c>
      <c r="AE853">
        <v>529</v>
      </c>
      <c r="AF853">
        <v>545</v>
      </c>
      <c r="AG853" t="s">
        <v>1644</v>
      </c>
      <c r="AH853" t="s">
        <v>65</v>
      </c>
      <c r="AI853" t="s">
        <v>65</v>
      </c>
      <c r="AJ853" t="s">
        <v>66</v>
      </c>
      <c r="AK853" t="s">
        <v>66</v>
      </c>
      <c r="AL853" t="s">
        <v>66</v>
      </c>
      <c r="AM853" s="2" t="str">
        <f>HYPERLINK("https://transparencia.cidesi.mx/comprobantes/2021/CQ2100532 /C2Oxxo 16 Jul.pdf")</f>
        <v>https://transparencia.cidesi.mx/comprobantes/2021/CQ2100532 /C2Oxxo 16 Jul.pdf</v>
      </c>
      <c r="AN853" t="str">
        <f>HYPERLINK("https://transparencia.cidesi.mx/comprobantes/2021/CQ2100532 /C2Oxxo 16 Jul.pdf")</f>
        <v>https://transparencia.cidesi.mx/comprobantes/2021/CQ2100532 /C2Oxxo 16 Jul.pdf</v>
      </c>
      <c r="AO853" t="str">
        <f>HYPERLINK("https://transparencia.cidesi.mx/comprobantes/2021/CQ2100532 /C2Oxxo 16 Jul.xml")</f>
        <v>https://transparencia.cidesi.mx/comprobantes/2021/CQ2100532 /C2Oxxo 16 Jul.xml</v>
      </c>
      <c r="AP853" t="s">
        <v>1650</v>
      </c>
      <c r="AQ853" t="s">
        <v>1650</v>
      </c>
      <c r="AR853" t="s">
        <v>1646</v>
      </c>
      <c r="AS853" t="s">
        <v>1646</v>
      </c>
      <c r="AT853" s="1">
        <v>44398</v>
      </c>
      <c r="AU853" s="1">
        <v>44399</v>
      </c>
    </row>
    <row r="854" spans="1:47" x14ac:dyDescent="0.3">
      <c r="A854" t="s">
        <v>47</v>
      </c>
      <c r="B854" t="s">
        <v>224</v>
      </c>
      <c r="C854" t="s">
        <v>225</v>
      </c>
      <c r="D854">
        <v>9067</v>
      </c>
      <c r="E854" t="s">
        <v>1638</v>
      </c>
      <c r="F854" t="s">
        <v>1639</v>
      </c>
      <c r="G854" t="s">
        <v>1640</v>
      </c>
      <c r="H854" t="s">
        <v>1651</v>
      </c>
      <c r="I854" t="s">
        <v>54</v>
      </c>
      <c r="J854" t="s">
        <v>1652</v>
      </c>
      <c r="K854" t="s">
        <v>56</v>
      </c>
      <c r="L854">
        <v>0</v>
      </c>
      <c r="M854" t="s">
        <v>73</v>
      </c>
      <c r="N854">
        <v>0</v>
      </c>
      <c r="O854" t="s">
        <v>58</v>
      </c>
      <c r="P854" t="s">
        <v>59</v>
      </c>
      <c r="Q854" t="s">
        <v>216</v>
      </c>
      <c r="R854" t="s">
        <v>1652</v>
      </c>
      <c r="S854" s="1">
        <v>44396</v>
      </c>
      <c r="T854" s="1">
        <v>44396</v>
      </c>
      <c r="U854">
        <v>37501</v>
      </c>
      <c r="V854" t="s">
        <v>61</v>
      </c>
      <c r="W854" t="s">
        <v>1653</v>
      </c>
      <c r="X854" s="1">
        <v>44397</v>
      </c>
      <c r="Y854" t="s">
        <v>63</v>
      </c>
      <c r="Z854">
        <v>332.76</v>
      </c>
      <c r="AA854">
        <v>16</v>
      </c>
      <c r="AB854">
        <v>53.24</v>
      </c>
      <c r="AC854">
        <v>39</v>
      </c>
      <c r="AD854">
        <v>425</v>
      </c>
      <c r="AE854">
        <v>538.5</v>
      </c>
      <c r="AF854">
        <v>545</v>
      </c>
      <c r="AG854" t="s">
        <v>1644</v>
      </c>
      <c r="AH854" t="s">
        <v>65</v>
      </c>
      <c r="AI854" t="s">
        <v>65</v>
      </c>
      <c r="AJ854" t="s">
        <v>66</v>
      </c>
      <c r="AK854" t="s">
        <v>66</v>
      </c>
      <c r="AL854" t="s">
        <v>66</v>
      </c>
      <c r="AM854" s="2" t="str">
        <f>HYPERLINK("https://transparencia.cidesi.mx/comprobantes/2021/CQ2100535 /C1Concha 19 Jul.pdf")</f>
        <v>https://transparencia.cidesi.mx/comprobantes/2021/CQ2100535 /C1Concha 19 Jul.pdf</v>
      </c>
      <c r="AN854" t="str">
        <f>HYPERLINK("https://transparencia.cidesi.mx/comprobantes/2021/CQ2100535 /C1Concha 19 Jul.pdf")</f>
        <v>https://transparencia.cidesi.mx/comprobantes/2021/CQ2100535 /C1Concha 19 Jul.pdf</v>
      </c>
      <c r="AO854" t="str">
        <f>HYPERLINK("https://transparencia.cidesi.mx/comprobantes/2021/CQ2100535 /C1Concha 19 Jul.xml")</f>
        <v>https://transparencia.cidesi.mx/comprobantes/2021/CQ2100535 /C1Concha 19 Jul.xml</v>
      </c>
      <c r="AP854" t="s">
        <v>1645</v>
      </c>
      <c r="AQ854" t="s">
        <v>1645</v>
      </c>
      <c r="AR854" t="s">
        <v>1654</v>
      </c>
      <c r="AS854" t="s">
        <v>1654</v>
      </c>
      <c r="AT854" s="1">
        <v>44398</v>
      </c>
      <c r="AU854" s="1">
        <v>44399</v>
      </c>
    </row>
    <row r="855" spans="1:47" x14ac:dyDescent="0.3">
      <c r="A855" t="s">
        <v>47</v>
      </c>
      <c r="B855" t="s">
        <v>224</v>
      </c>
      <c r="C855" t="s">
        <v>225</v>
      </c>
      <c r="D855">
        <v>9067</v>
      </c>
      <c r="E855" t="s">
        <v>1638</v>
      </c>
      <c r="F855" t="s">
        <v>1639</v>
      </c>
      <c r="G855" t="s">
        <v>1640</v>
      </c>
      <c r="H855" t="s">
        <v>1651</v>
      </c>
      <c r="I855" t="s">
        <v>54</v>
      </c>
      <c r="J855" t="s">
        <v>1652</v>
      </c>
      <c r="K855" t="s">
        <v>56</v>
      </c>
      <c r="L855">
        <v>0</v>
      </c>
      <c r="M855" t="s">
        <v>73</v>
      </c>
      <c r="N855">
        <v>0</v>
      </c>
      <c r="O855" t="s">
        <v>58</v>
      </c>
      <c r="P855" t="s">
        <v>59</v>
      </c>
      <c r="Q855" t="s">
        <v>216</v>
      </c>
      <c r="R855" t="s">
        <v>1652</v>
      </c>
      <c r="S855" s="1">
        <v>44396</v>
      </c>
      <c r="T855" s="1">
        <v>44396</v>
      </c>
      <c r="U855">
        <v>37501</v>
      </c>
      <c r="V855" t="s">
        <v>61</v>
      </c>
      <c r="W855" t="s">
        <v>1653</v>
      </c>
      <c r="X855" s="1">
        <v>44397</v>
      </c>
      <c r="Y855" t="s">
        <v>63</v>
      </c>
      <c r="Z855">
        <v>110.74</v>
      </c>
      <c r="AA855">
        <v>16</v>
      </c>
      <c r="AB855">
        <v>2.76</v>
      </c>
      <c r="AC855">
        <v>0</v>
      </c>
      <c r="AD855">
        <v>113.5</v>
      </c>
      <c r="AE855">
        <v>538.5</v>
      </c>
      <c r="AF855">
        <v>545</v>
      </c>
      <c r="AG855" t="s">
        <v>1644</v>
      </c>
      <c r="AH855" t="s">
        <v>65</v>
      </c>
      <c r="AI855" t="s">
        <v>65</v>
      </c>
      <c r="AJ855" t="s">
        <v>66</v>
      </c>
      <c r="AK855" t="s">
        <v>66</v>
      </c>
      <c r="AL855" t="s">
        <v>66</v>
      </c>
      <c r="AM855" s="2" t="str">
        <f>HYPERLINK("https://transparencia.cidesi.mx/comprobantes/2021/CQ2100535 /C2Oxxo 19 Jul.pdf")</f>
        <v>https://transparencia.cidesi.mx/comprobantes/2021/CQ2100535 /C2Oxxo 19 Jul.pdf</v>
      </c>
      <c r="AN855" t="str">
        <f>HYPERLINK("https://transparencia.cidesi.mx/comprobantes/2021/CQ2100535 /C2Oxxo 19 Jul.pdf")</f>
        <v>https://transparencia.cidesi.mx/comprobantes/2021/CQ2100535 /C2Oxxo 19 Jul.pdf</v>
      </c>
      <c r="AO855" t="str">
        <f>HYPERLINK("https://transparencia.cidesi.mx/comprobantes/2021/CQ2100535 /C2Oxxo 19 Jul.xml")</f>
        <v>https://transparencia.cidesi.mx/comprobantes/2021/CQ2100535 /C2Oxxo 19 Jul.xml</v>
      </c>
      <c r="AP855" t="s">
        <v>1645</v>
      </c>
      <c r="AQ855" t="s">
        <v>1645</v>
      </c>
      <c r="AR855" t="s">
        <v>1654</v>
      </c>
      <c r="AS855" t="s">
        <v>1654</v>
      </c>
      <c r="AT855" s="1">
        <v>44398</v>
      </c>
      <c r="AU855" s="1">
        <v>44399</v>
      </c>
    </row>
    <row r="856" spans="1:47" x14ac:dyDescent="0.3">
      <c r="A856" t="s">
        <v>47</v>
      </c>
      <c r="B856" t="s">
        <v>224</v>
      </c>
      <c r="C856" t="s">
        <v>225</v>
      </c>
      <c r="D856">
        <v>9067</v>
      </c>
      <c r="E856" t="s">
        <v>1638</v>
      </c>
      <c r="F856" t="s">
        <v>1639</v>
      </c>
      <c r="G856" t="s">
        <v>1640</v>
      </c>
      <c r="H856" t="s">
        <v>1655</v>
      </c>
      <c r="I856" t="s">
        <v>54</v>
      </c>
      <c r="J856" t="s">
        <v>1656</v>
      </c>
      <c r="K856" t="s">
        <v>56</v>
      </c>
      <c r="L856">
        <v>0</v>
      </c>
      <c r="M856" t="s">
        <v>73</v>
      </c>
      <c r="N856">
        <v>0</v>
      </c>
      <c r="O856" t="s">
        <v>58</v>
      </c>
      <c r="P856" t="s">
        <v>59</v>
      </c>
      <c r="Q856" t="s">
        <v>216</v>
      </c>
      <c r="R856" t="s">
        <v>1656</v>
      </c>
      <c r="S856" s="1">
        <v>44399</v>
      </c>
      <c r="T856" s="1">
        <v>44400</v>
      </c>
      <c r="U856">
        <v>37501</v>
      </c>
      <c r="V856" t="s">
        <v>104</v>
      </c>
      <c r="W856" t="s">
        <v>1657</v>
      </c>
      <c r="X856" s="1">
        <v>44405</v>
      </c>
      <c r="Y856" t="s">
        <v>63</v>
      </c>
      <c r="Z856">
        <v>416</v>
      </c>
      <c r="AA856">
        <v>16</v>
      </c>
      <c r="AB856">
        <v>64</v>
      </c>
      <c r="AC856">
        <v>0</v>
      </c>
      <c r="AD856">
        <v>480</v>
      </c>
      <c r="AE856">
        <v>1633</v>
      </c>
      <c r="AF856">
        <v>1636</v>
      </c>
      <c r="AG856" t="s">
        <v>1658</v>
      </c>
      <c r="AH856" t="s">
        <v>65</v>
      </c>
      <c r="AI856" t="s">
        <v>65</v>
      </c>
      <c r="AJ856" t="s">
        <v>66</v>
      </c>
      <c r="AK856" t="s">
        <v>66</v>
      </c>
      <c r="AL856" t="s">
        <v>66</v>
      </c>
      <c r="AM856" s="2" t="str">
        <f>HYPERLINK("https://transparencia.cidesi.mx/comprobantes/2021/CQ2100562 /C1H_473.pdf")</f>
        <v>https://transparencia.cidesi.mx/comprobantes/2021/CQ2100562 /C1H_473.pdf</v>
      </c>
      <c r="AN856" t="str">
        <f>HYPERLINK("https://transparencia.cidesi.mx/comprobantes/2021/CQ2100562 /C1H_473.pdf")</f>
        <v>https://transparencia.cidesi.mx/comprobantes/2021/CQ2100562 /C1H_473.pdf</v>
      </c>
      <c r="AO856" t="str">
        <f>HYPERLINK("https://transparencia.cidesi.mx/comprobantes/2021/CQ2100562 /C1H_473.xml")</f>
        <v>https://transparencia.cidesi.mx/comprobantes/2021/CQ2100562 /C1H_473.xml</v>
      </c>
      <c r="AP856" t="s">
        <v>1656</v>
      </c>
      <c r="AQ856" t="s">
        <v>1659</v>
      </c>
      <c r="AR856" t="s">
        <v>1659</v>
      </c>
      <c r="AS856" t="s">
        <v>1659</v>
      </c>
      <c r="AT856" s="1">
        <v>44406</v>
      </c>
      <c r="AU856" s="1">
        <v>44411</v>
      </c>
    </row>
    <row r="857" spans="1:47" x14ac:dyDescent="0.3">
      <c r="A857" t="s">
        <v>47</v>
      </c>
      <c r="B857" t="s">
        <v>224</v>
      </c>
      <c r="C857" t="s">
        <v>225</v>
      </c>
      <c r="D857">
        <v>9067</v>
      </c>
      <c r="E857" t="s">
        <v>1638</v>
      </c>
      <c r="F857" t="s">
        <v>1639</v>
      </c>
      <c r="G857" t="s">
        <v>1640</v>
      </c>
      <c r="H857" t="s">
        <v>1655</v>
      </c>
      <c r="I857" t="s">
        <v>54</v>
      </c>
      <c r="J857" t="s">
        <v>1656</v>
      </c>
      <c r="K857" t="s">
        <v>56</v>
      </c>
      <c r="L857">
        <v>0</v>
      </c>
      <c r="M857" t="s">
        <v>73</v>
      </c>
      <c r="N857">
        <v>0</v>
      </c>
      <c r="O857" t="s">
        <v>58</v>
      </c>
      <c r="P857" t="s">
        <v>59</v>
      </c>
      <c r="Q857" t="s">
        <v>216</v>
      </c>
      <c r="R857" t="s">
        <v>1656</v>
      </c>
      <c r="S857" s="1">
        <v>44399</v>
      </c>
      <c r="T857" s="1">
        <v>44400</v>
      </c>
      <c r="U857">
        <v>37501</v>
      </c>
      <c r="V857" t="s">
        <v>61</v>
      </c>
      <c r="W857" t="s">
        <v>1657</v>
      </c>
      <c r="X857" s="1">
        <v>44405</v>
      </c>
      <c r="Y857" t="s">
        <v>63</v>
      </c>
      <c r="Z857">
        <v>427.59</v>
      </c>
      <c r="AA857">
        <v>16</v>
      </c>
      <c r="AB857">
        <v>68.41</v>
      </c>
      <c r="AC857">
        <v>50</v>
      </c>
      <c r="AD857">
        <v>546</v>
      </c>
      <c r="AE857">
        <v>1633</v>
      </c>
      <c r="AF857">
        <v>1636</v>
      </c>
      <c r="AG857" t="s">
        <v>1644</v>
      </c>
      <c r="AH857" t="s">
        <v>65</v>
      </c>
      <c r="AI857" t="s">
        <v>65</v>
      </c>
      <c r="AJ857" t="s">
        <v>66</v>
      </c>
      <c r="AK857" t="s">
        <v>66</v>
      </c>
      <c r="AL857" t="s">
        <v>66</v>
      </c>
      <c r="AM857" s="2" t="str">
        <f>HYPERLINK("https://transparencia.cidesi.mx/comprobantes/2021/CQ2100562 /C2TAAC5505297IA_Factura__16528_4C6EA574-6F80-4355-8D03-0DA866CE25CC.pdf")</f>
        <v>https://transparencia.cidesi.mx/comprobantes/2021/CQ2100562 /C2TAAC5505297IA_Factura__16528_4C6EA574-6F80-4355-8D03-0DA866CE25CC.pdf</v>
      </c>
      <c r="AN857" t="str">
        <f>HYPERLINK("https://transparencia.cidesi.mx/comprobantes/2021/CQ2100562 /C2TAAC5505297IA_Factura__16528_4C6EA574-6F80-4355-8D03-0DA866CE25CC.pdf")</f>
        <v>https://transparencia.cidesi.mx/comprobantes/2021/CQ2100562 /C2TAAC5505297IA_Factura__16528_4C6EA574-6F80-4355-8D03-0DA866CE25CC.pdf</v>
      </c>
      <c r="AO857" t="str">
        <f>HYPERLINK("https://transparencia.cidesi.mx/comprobantes/2021/CQ2100562 /C2TAAC5505297IA_Factura__16528_4C6EA574-6F80-4355-8D03-0DA866CE25CC.xml")</f>
        <v>https://transparencia.cidesi.mx/comprobantes/2021/CQ2100562 /C2TAAC5505297IA_Factura__16528_4C6EA574-6F80-4355-8D03-0DA866CE25CC.xml</v>
      </c>
      <c r="AP857" t="s">
        <v>1656</v>
      </c>
      <c r="AQ857" t="s">
        <v>1659</v>
      </c>
      <c r="AR857" t="s">
        <v>1659</v>
      </c>
      <c r="AS857" t="s">
        <v>1659</v>
      </c>
      <c r="AT857" s="1">
        <v>44406</v>
      </c>
      <c r="AU857" s="1">
        <v>44411</v>
      </c>
    </row>
    <row r="858" spans="1:47" x14ac:dyDescent="0.3">
      <c r="A858" t="s">
        <v>47</v>
      </c>
      <c r="B858" t="s">
        <v>224</v>
      </c>
      <c r="C858" t="s">
        <v>225</v>
      </c>
      <c r="D858">
        <v>9067</v>
      </c>
      <c r="E858" t="s">
        <v>1638</v>
      </c>
      <c r="F858" t="s">
        <v>1639</v>
      </c>
      <c r="G858" t="s">
        <v>1640</v>
      </c>
      <c r="H858" t="s">
        <v>1655</v>
      </c>
      <c r="I858" t="s">
        <v>54</v>
      </c>
      <c r="J858" t="s">
        <v>1656</v>
      </c>
      <c r="K858" t="s">
        <v>56</v>
      </c>
      <c r="L858">
        <v>0</v>
      </c>
      <c r="M858" t="s">
        <v>73</v>
      </c>
      <c r="N858">
        <v>0</v>
      </c>
      <c r="O858" t="s">
        <v>58</v>
      </c>
      <c r="P858" t="s">
        <v>59</v>
      </c>
      <c r="Q858" t="s">
        <v>216</v>
      </c>
      <c r="R858" t="s">
        <v>1656</v>
      </c>
      <c r="S858" s="1">
        <v>44399</v>
      </c>
      <c r="T858" s="1">
        <v>44400</v>
      </c>
      <c r="U858">
        <v>37501</v>
      </c>
      <c r="V858" t="s">
        <v>61</v>
      </c>
      <c r="W858" t="s">
        <v>1657</v>
      </c>
      <c r="X858" s="1">
        <v>44405</v>
      </c>
      <c r="Y858" t="s">
        <v>63</v>
      </c>
      <c r="Z858">
        <v>305.17</v>
      </c>
      <c r="AA858">
        <v>16</v>
      </c>
      <c r="AB858">
        <v>48.83</v>
      </c>
      <c r="AC858">
        <v>0</v>
      </c>
      <c r="AD858">
        <v>354</v>
      </c>
      <c r="AE858">
        <v>1633</v>
      </c>
      <c r="AF858">
        <v>1636</v>
      </c>
      <c r="AG858" t="s">
        <v>1644</v>
      </c>
      <c r="AH858" t="s">
        <v>65</v>
      </c>
      <c r="AI858" t="s">
        <v>65</v>
      </c>
      <c r="AJ858" t="s">
        <v>66</v>
      </c>
      <c r="AK858" t="s">
        <v>66</v>
      </c>
      <c r="AL858" t="s">
        <v>66</v>
      </c>
      <c r="AM858" s="2" t="str">
        <f>HYPERLINK("https://transparencia.cidesi.mx/comprobantes/2021/CQ2100562 /C3CID840309UG7F0000018933.pdf")</f>
        <v>https://transparencia.cidesi.mx/comprobantes/2021/CQ2100562 /C3CID840309UG7F0000018933.pdf</v>
      </c>
      <c r="AN858" t="str">
        <f>HYPERLINK("https://transparencia.cidesi.mx/comprobantes/2021/CQ2100562 /C3CID840309UG7F0000018933.pdf")</f>
        <v>https://transparencia.cidesi.mx/comprobantes/2021/CQ2100562 /C3CID840309UG7F0000018933.pdf</v>
      </c>
      <c r="AO858" t="str">
        <f>HYPERLINK("https://transparencia.cidesi.mx/comprobantes/2021/CQ2100562 /C3CID840309UG7F0000018933.xml")</f>
        <v>https://transparencia.cidesi.mx/comprobantes/2021/CQ2100562 /C3CID840309UG7F0000018933.xml</v>
      </c>
      <c r="AP858" t="s">
        <v>1656</v>
      </c>
      <c r="AQ858" t="s">
        <v>1659</v>
      </c>
      <c r="AR858" t="s">
        <v>1659</v>
      </c>
      <c r="AS858" t="s">
        <v>1659</v>
      </c>
      <c r="AT858" s="1">
        <v>44406</v>
      </c>
      <c r="AU858" s="1">
        <v>44411</v>
      </c>
    </row>
    <row r="859" spans="1:47" x14ac:dyDescent="0.3">
      <c r="A859" t="s">
        <v>47</v>
      </c>
      <c r="B859" t="s">
        <v>224</v>
      </c>
      <c r="C859" t="s">
        <v>225</v>
      </c>
      <c r="D859">
        <v>9067</v>
      </c>
      <c r="E859" t="s">
        <v>1638</v>
      </c>
      <c r="F859" t="s">
        <v>1639</v>
      </c>
      <c r="G859" t="s">
        <v>1640</v>
      </c>
      <c r="H859" t="s">
        <v>1655</v>
      </c>
      <c r="I859" t="s">
        <v>54</v>
      </c>
      <c r="J859" t="s">
        <v>1656</v>
      </c>
      <c r="K859" t="s">
        <v>56</v>
      </c>
      <c r="L859">
        <v>0</v>
      </c>
      <c r="M859" t="s">
        <v>73</v>
      </c>
      <c r="N859">
        <v>0</v>
      </c>
      <c r="O859" t="s">
        <v>58</v>
      </c>
      <c r="P859" t="s">
        <v>59</v>
      </c>
      <c r="Q859" t="s">
        <v>216</v>
      </c>
      <c r="R859" t="s">
        <v>1656</v>
      </c>
      <c r="S859" s="1">
        <v>44399</v>
      </c>
      <c r="T859" s="1">
        <v>44400</v>
      </c>
      <c r="U859">
        <v>37501</v>
      </c>
      <c r="V859" t="s">
        <v>61</v>
      </c>
      <c r="W859" t="s">
        <v>1657</v>
      </c>
      <c r="X859" s="1">
        <v>44405</v>
      </c>
      <c r="Y859" t="s">
        <v>63</v>
      </c>
      <c r="Z859">
        <v>165.55</v>
      </c>
      <c r="AA859">
        <v>16</v>
      </c>
      <c r="AB859">
        <v>3.45</v>
      </c>
      <c r="AC859">
        <v>0</v>
      </c>
      <c r="AD859">
        <v>169</v>
      </c>
      <c r="AE859">
        <v>1633</v>
      </c>
      <c r="AF859">
        <v>1636</v>
      </c>
      <c r="AG859" t="s">
        <v>1644</v>
      </c>
      <c r="AH859" t="s">
        <v>65</v>
      </c>
      <c r="AI859" t="s">
        <v>65</v>
      </c>
      <c r="AJ859" t="s">
        <v>66</v>
      </c>
      <c r="AK859" t="s">
        <v>66</v>
      </c>
      <c r="AL859" t="s">
        <v>66</v>
      </c>
      <c r="AM859" s="2" t="str">
        <f>HYPERLINK("https://transparencia.cidesi.mx/comprobantes/2021/CQ2100562 /C4FACTURA_1627080918676_338105765.pdf")</f>
        <v>https://transparencia.cidesi.mx/comprobantes/2021/CQ2100562 /C4FACTURA_1627080918676_338105765.pdf</v>
      </c>
      <c r="AN859" t="str">
        <f>HYPERLINK("https://transparencia.cidesi.mx/comprobantes/2021/CQ2100562 /C4FACTURA_1627080918676_338105765.pdf")</f>
        <v>https://transparencia.cidesi.mx/comprobantes/2021/CQ2100562 /C4FACTURA_1627080918676_338105765.pdf</v>
      </c>
      <c r="AO859" t="str">
        <f>HYPERLINK("https://transparencia.cidesi.mx/comprobantes/2021/CQ2100562 /C4FACTURA_1627080918676_338105765.xml")</f>
        <v>https://transparencia.cidesi.mx/comprobantes/2021/CQ2100562 /C4FACTURA_1627080918676_338105765.xml</v>
      </c>
      <c r="AP859" t="s">
        <v>1656</v>
      </c>
      <c r="AQ859" t="s">
        <v>1659</v>
      </c>
      <c r="AR859" t="s">
        <v>1659</v>
      </c>
      <c r="AS859" t="s">
        <v>1659</v>
      </c>
      <c r="AT859" s="1">
        <v>44406</v>
      </c>
      <c r="AU859" s="1">
        <v>44411</v>
      </c>
    </row>
    <row r="860" spans="1:47" x14ac:dyDescent="0.3">
      <c r="A860" t="s">
        <v>47</v>
      </c>
      <c r="B860" t="s">
        <v>224</v>
      </c>
      <c r="C860" t="s">
        <v>225</v>
      </c>
      <c r="D860">
        <v>9067</v>
      </c>
      <c r="E860" t="s">
        <v>1638</v>
      </c>
      <c r="F860" t="s">
        <v>1639</v>
      </c>
      <c r="G860" t="s">
        <v>1640</v>
      </c>
      <c r="H860" t="s">
        <v>1655</v>
      </c>
      <c r="I860" t="s">
        <v>54</v>
      </c>
      <c r="J860" t="s">
        <v>1656</v>
      </c>
      <c r="K860" t="s">
        <v>56</v>
      </c>
      <c r="L860">
        <v>0</v>
      </c>
      <c r="M860" t="s">
        <v>73</v>
      </c>
      <c r="N860">
        <v>0</v>
      </c>
      <c r="O860" t="s">
        <v>58</v>
      </c>
      <c r="P860" t="s">
        <v>59</v>
      </c>
      <c r="Q860" t="s">
        <v>216</v>
      </c>
      <c r="R860" t="s">
        <v>1656</v>
      </c>
      <c r="S860" s="1">
        <v>44399</v>
      </c>
      <c r="T860" s="1">
        <v>44400</v>
      </c>
      <c r="U860">
        <v>37501</v>
      </c>
      <c r="V860" t="s">
        <v>61</v>
      </c>
      <c r="W860" t="s">
        <v>1657</v>
      </c>
      <c r="X860" s="1">
        <v>44405</v>
      </c>
      <c r="Y860" t="s">
        <v>63</v>
      </c>
      <c r="Z860">
        <v>82.14</v>
      </c>
      <c r="AA860">
        <v>16</v>
      </c>
      <c r="AB860">
        <v>1.86</v>
      </c>
      <c r="AC860">
        <v>0</v>
      </c>
      <c r="AD860">
        <v>84</v>
      </c>
      <c r="AE860">
        <v>1633</v>
      </c>
      <c r="AF860">
        <v>1636</v>
      </c>
      <c r="AG860" t="s">
        <v>1644</v>
      </c>
      <c r="AH860" t="s">
        <v>65</v>
      </c>
      <c r="AI860" t="s">
        <v>65</v>
      </c>
      <c r="AJ860" t="s">
        <v>66</v>
      </c>
      <c r="AK860" t="s">
        <v>66</v>
      </c>
      <c r="AL860" t="s">
        <v>66</v>
      </c>
      <c r="AM860" s="2" t="str">
        <f>HYPERLINK("https://transparencia.cidesi.mx/comprobantes/2021/CQ2100562 /C5FACTURA_1627089237885_338117591.pdf")</f>
        <v>https://transparencia.cidesi.mx/comprobantes/2021/CQ2100562 /C5FACTURA_1627089237885_338117591.pdf</v>
      </c>
      <c r="AN860" t="str">
        <f>HYPERLINK("https://transparencia.cidesi.mx/comprobantes/2021/CQ2100562 /C5FACTURA_1627089237885_338117591.pdf")</f>
        <v>https://transparencia.cidesi.mx/comprobantes/2021/CQ2100562 /C5FACTURA_1627089237885_338117591.pdf</v>
      </c>
      <c r="AO860" t="str">
        <f>HYPERLINK("https://transparencia.cidesi.mx/comprobantes/2021/CQ2100562 /C5FACTURA_1627089237885_338117591.xml")</f>
        <v>https://transparencia.cidesi.mx/comprobantes/2021/CQ2100562 /C5FACTURA_1627089237885_338117591.xml</v>
      </c>
      <c r="AP860" t="s">
        <v>1656</v>
      </c>
      <c r="AQ860" t="s">
        <v>1659</v>
      </c>
      <c r="AR860" t="s">
        <v>1659</v>
      </c>
      <c r="AS860" t="s">
        <v>1659</v>
      </c>
      <c r="AT860" s="1">
        <v>44406</v>
      </c>
      <c r="AU860" s="1">
        <v>44411</v>
      </c>
    </row>
    <row r="861" spans="1:47" x14ac:dyDescent="0.3">
      <c r="A861" t="s">
        <v>47</v>
      </c>
      <c r="B861" t="s">
        <v>224</v>
      </c>
      <c r="C861" t="s">
        <v>225</v>
      </c>
      <c r="D861">
        <v>9067</v>
      </c>
      <c r="E861" t="s">
        <v>1638</v>
      </c>
      <c r="F861" t="s">
        <v>1639</v>
      </c>
      <c r="G861" t="s">
        <v>1640</v>
      </c>
      <c r="H861" t="s">
        <v>1660</v>
      </c>
      <c r="I861" t="s">
        <v>54</v>
      </c>
      <c r="J861" t="s">
        <v>1661</v>
      </c>
      <c r="K861" t="s">
        <v>56</v>
      </c>
      <c r="L861">
        <v>0</v>
      </c>
      <c r="M861" t="s">
        <v>73</v>
      </c>
      <c r="N861">
        <v>0</v>
      </c>
      <c r="O861" t="s">
        <v>58</v>
      </c>
      <c r="P861" t="s">
        <v>59</v>
      </c>
      <c r="Q861" t="s">
        <v>252</v>
      </c>
      <c r="R861" t="s">
        <v>1661</v>
      </c>
      <c r="S861" s="1">
        <v>44420</v>
      </c>
      <c r="T861" s="1">
        <v>44420</v>
      </c>
      <c r="U861">
        <v>37501</v>
      </c>
      <c r="V861" t="s">
        <v>61</v>
      </c>
      <c r="W861" t="s">
        <v>1662</v>
      </c>
      <c r="X861" s="1">
        <v>44424</v>
      </c>
      <c r="Y861" t="s">
        <v>63</v>
      </c>
      <c r="Z861">
        <v>368.54</v>
      </c>
      <c r="AA861">
        <v>16</v>
      </c>
      <c r="AB861">
        <v>58.97</v>
      </c>
      <c r="AC861">
        <v>42.75</v>
      </c>
      <c r="AD861">
        <v>470.26</v>
      </c>
      <c r="AE861">
        <v>470.26</v>
      </c>
      <c r="AF861">
        <v>545</v>
      </c>
      <c r="AG861" t="s">
        <v>1644</v>
      </c>
      <c r="AH861" t="s">
        <v>65</v>
      </c>
      <c r="AI861" t="s">
        <v>65</v>
      </c>
      <c r="AJ861" t="s">
        <v>66</v>
      </c>
      <c r="AK861" t="s">
        <v>66</v>
      </c>
      <c r="AL861" t="s">
        <v>66</v>
      </c>
      <c r="AM861" s="2" t="str">
        <f>HYPERLINK("https://transparencia.cidesi.mx/comprobantes/2021/CQ2100654 /C1Rio33 F1302.pdf")</f>
        <v>https://transparencia.cidesi.mx/comprobantes/2021/CQ2100654 /C1Rio33 F1302.pdf</v>
      </c>
      <c r="AN861" t="str">
        <f>HYPERLINK("https://transparencia.cidesi.mx/comprobantes/2021/CQ2100654 /C1Rio33 F1302.pdf")</f>
        <v>https://transparencia.cidesi.mx/comprobantes/2021/CQ2100654 /C1Rio33 F1302.pdf</v>
      </c>
      <c r="AO861" t="str">
        <f>HYPERLINK("https://transparencia.cidesi.mx/comprobantes/2021/CQ2100654 /C1Rio33 F1302.xml")</f>
        <v>https://transparencia.cidesi.mx/comprobantes/2021/CQ2100654 /C1Rio33 F1302.xml</v>
      </c>
      <c r="AP861" t="s">
        <v>1663</v>
      </c>
      <c r="AQ861" t="s">
        <v>1664</v>
      </c>
      <c r="AR861" t="s">
        <v>1665</v>
      </c>
      <c r="AS861" t="s">
        <v>1665</v>
      </c>
      <c r="AT861" s="1">
        <v>44425</v>
      </c>
      <c r="AU861" s="1">
        <v>44428</v>
      </c>
    </row>
    <row r="862" spans="1:47" x14ac:dyDescent="0.3">
      <c r="A862" t="s">
        <v>47</v>
      </c>
      <c r="B862" t="s">
        <v>224</v>
      </c>
      <c r="C862" t="s">
        <v>225</v>
      </c>
      <c r="D862">
        <v>9067</v>
      </c>
      <c r="E862" t="s">
        <v>1638</v>
      </c>
      <c r="F862" t="s">
        <v>1639</v>
      </c>
      <c r="G862" t="s">
        <v>1640</v>
      </c>
      <c r="H862" t="s">
        <v>1666</v>
      </c>
      <c r="I862" t="s">
        <v>54</v>
      </c>
      <c r="J862" t="s">
        <v>1667</v>
      </c>
      <c r="K862" t="s">
        <v>56</v>
      </c>
      <c r="L862">
        <v>0</v>
      </c>
      <c r="M862" t="s">
        <v>73</v>
      </c>
      <c r="N862">
        <v>0</v>
      </c>
      <c r="O862" t="s">
        <v>58</v>
      </c>
      <c r="P862" t="s">
        <v>59</v>
      </c>
      <c r="Q862" t="s">
        <v>252</v>
      </c>
      <c r="R862" t="s">
        <v>1667</v>
      </c>
      <c r="S862" s="1">
        <v>44448</v>
      </c>
      <c r="T862" s="1">
        <v>44448</v>
      </c>
      <c r="U862">
        <v>37501</v>
      </c>
      <c r="V862" t="s">
        <v>61</v>
      </c>
      <c r="W862" t="s">
        <v>1668</v>
      </c>
      <c r="X862" s="1">
        <v>44449</v>
      </c>
      <c r="Y862" t="s">
        <v>63</v>
      </c>
      <c r="Z862">
        <v>92.58</v>
      </c>
      <c r="AA862">
        <v>16</v>
      </c>
      <c r="AB862">
        <v>8.42</v>
      </c>
      <c r="AC862">
        <v>0</v>
      </c>
      <c r="AD862">
        <v>101</v>
      </c>
      <c r="AE862">
        <v>507</v>
      </c>
      <c r="AF862">
        <v>545</v>
      </c>
      <c r="AG862" t="s">
        <v>1644</v>
      </c>
      <c r="AH862" t="s">
        <v>65</v>
      </c>
      <c r="AI862" t="s">
        <v>65</v>
      </c>
      <c r="AJ862" t="s">
        <v>66</v>
      </c>
      <c r="AK862" t="s">
        <v>66</v>
      </c>
      <c r="AL862" t="s">
        <v>66</v>
      </c>
      <c r="AM862" s="2" t="str">
        <f>HYPERLINK("https://transparencia.cidesi.mx/comprobantes/2021/CQ2100771 /C1Oxxo.pdf")</f>
        <v>https://transparencia.cidesi.mx/comprobantes/2021/CQ2100771 /C1Oxxo.pdf</v>
      </c>
      <c r="AN862" t="str">
        <f>HYPERLINK("https://transparencia.cidesi.mx/comprobantes/2021/CQ2100771 /C1Oxxo.pdf")</f>
        <v>https://transparencia.cidesi.mx/comprobantes/2021/CQ2100771 /C1Oxxo.pdf</v>
      </c>
      <c r="AO862" t="str">
        <f>HYPERLINK("https://transparencia.cidesi.mx/comprobantes/2021/CQ2100771 /C1Oxxo.xml")</f>
        <v>https://transparencia.cidesi.mx/comprobantes/2021/CQ2100771 /C1Oxxo.xml</v>
      </c>
      <c r="AP862" t="s">
        <v>1669</v>
      </c>
      <c r="AQ862" t="s">
        <v>1669</v>
      </c>
      <c r="AR862" t="s">
        <v>1670</v>
      </c>
      <c r="AS862" t="s">
        <v>1670</v>
      </c>
      <c r="AT862" s="1">
        <v>44452</v>
      </c>
      <c r="AU862" s="1">
        <v>44453</v>
      </c>
    </row>
    <row r="863" spans="1:47" x14ac:dyDescent="0.3">
      <c r="A863" t="s">
        <v>47</v>
      </c>
      <c r="B863" t="s">
        <v>224</v>
      </c>
      <c r="C863" t="s">
        <v>225</v>
      </c>
      <c r="D863">
        <v>9067</v>
      </c>
      <c r="E863" t="s">
        <v>1638</v>
      </c>
      <c r="F863" t="s">
        <v>1639</v>
      </c>
      <c r="G863" t="s">
        <v>1640</v>
      </c>
      <c r="H863" t="s">
        <v>1666</v>
      </c>
      <c r="I863" t="s">
        <v>54</v>
      </c>
      <c r="J863" t="s">
        <v>1667</v>
      </c>
      <c r="K863" t="s">
        <v>56</v>
      </c>
      <c r="L863">
        <v>0</v>
      </c>
      <c r="M863" t="s">
        <v>73</v>
      </c>
      <c r="N863">
        <v>0</v>
      </c>
      <c r="O863" t="s">
        <v>58</v>
      </c>
      <c r="P863" t="s">
        <v>59</v>
      </c>
      <c r="Q863" t="s">
        <v>252</v>
      </c>
      <c r="R863" t="s">
        <v>1667</v>
      </c>
      <c r="S863" s="1">
        <v>44448</v>
      </c>
      <c r="T863" s="1">
        <v>44448</v>
      </c>
      <c r="U863">
        <v>37501</v>
      </c>
      <c r="V863" t="s">
        <v>61</v>
      </c>
      <c r="W863" t="s">
        <v>1668</v>
      </c>
      <c r="X863" s="1">
        <v>44449</v>
      </c>
      <c r="Y863" t="s">
        <v>63</v>
      </c>
      <c r="Z863">
        <v>350</v>
      </c>
      <c r="AA863">
        <v>16</v>
      </c>
      <c r="AB863">
        <v>56</v>
      </c>
      <c r="AC863">
        <v>0</v>
      </c>
      <c r="AD863">
        <v>406</v>
      </c>
      <c r="AE863">
        <v>507</v>
      </c>
      <c r="AF863">
        <v>545</v>
      </c>
      <c r="AG863" t="s">
        <v>1644</v>
      </c>
      <c r="AH863" t="s">
        <v>65</v>
      </c>
      <c r="AI863" t="s">
        <v>65</v>
      </c>
      <c r="AJ863" t="s">
        <v>66</v>
      </c>
      <c r="AK863" t="s">
        <v>66</v>
      </c>
      <c r="AL863" t="s">
        <v>66</v>
      </c>
      <c r="AM863" s="2" t="str">
        <f>HYPERLINK("https://transparencia.cidesi.mx/comprobantes/2021/CQ2100771 /C2Arrachera.pdf")</f>
        <v>https://transparencia.cidesi.mx/comprobantes/2021/CQ2100771 /C2Arrachera.pdf</v>
      </c>
      <c r="AN863" t="str">
        <f>HYPERLINK("https://transparencia.cidesi.mx/comprobantes/2021/CQ2100771 /C2Arrachera.pdf")</f>
        <v>https://transparencia.cidesi.mx/comprobantes/2021/CQ2100771 /C2Arrachera.pdf</v>
      </c>
      <c r="AO863" t="str">
        <f>HYPERLINK("https://transparencia.cidesi.mx/comprobantes/2021/CQ2100771 /C2Arrachera.xml")</f>
        <v>https://transparencia.cidesi.mx/comprobantes/2021/CQ2100771 /C2Arrachera.xml</v>
      </c>
      <c r="AP863" t="s">
        <v>1669</v>
      </c>
      <c r="AQ863" t="s">
        <v>1669</v>
      </c>
      <c r="AR863" t="s">
        <v>1670</v>
      </c>
      <c r="AS863" t="s">
        <v>1670</v>
      </c>
      <c r="AT863" s="1">
        <v>44452</v>
      </c>
      <c r="AU863" s="1">
        <v>44453</v>
      </c>
    </row>
    <row r="864" spans="1:47" x14ac:dyDescent="0.3">
      <c r="A864" t="s">
        <v>47</v>
      </c>
      <c r="B864" t="s">
        <v>224</v>
      </c>
      <c r="C864" t="s">
        <v>225</v>
      </c>
      <c r="D864">
        <v>9067</v>
      </c>
      <c r="E864" t="s">
        <v>1638</v>
      </c>
      <c r="F864" t="s">
        <v>1639</v>
      </c>
      <c r="G864" t="s">
        <v>1640</v>
      </c>
      <c r="H864" t="s">
        <v>1671</v>
      </c>
      <c r="I864" t="s">
        <v>54</v>
      </c>
      <c r="J864" t="s">
        <v>1648</v>
      </c>
      <c r="K864" t="s">
        <v>56</v>
      </c>
      <c r="L864">
        <v>0</v>
      </c>
      <c r="M864" t="s">
        <v>73</v>
      </c>
      <c r="N864">
        <v>0</v>
      </c>
      <c r="O864" t="s">
        <v>58</v>
      </c>
      <c r="P864" t="s">
        <v>59</v>
      </c>
      <c r="Q864" t="s">
        <v>216</v>
      </c>
      <c r="R864" t="s">
        <v>1648</v>
      </c>
      <c r="S864" s="1">
        <v>44458</v>
      </c>
      <c r="T864" s="1">
        <v>44458</v>
      </c>
      <c r="U864">
        <v>37501</v>
      </c>
      <c r="V864" t="s">
        <v>61</v>
      </c>
      <c r="W864" t="s">
        <v>1672</v>
      </c>
      <c r="X864" s="1">
        <v>44461</v>
      </c>
      <c r="Y864" t="s">
        <v>63</v>
      </c>
      <c r="Z864">
        <v>383.62</v>
      </c>
      <c r="AA864">
        <v>16</v>
      </c>
      <c r="AB864">
        <v>61.38</v>
      </c>
      <c r="AC864">
        <v>45</v>
      </c>
      <c r="AD864">
        <v>490</v>
      </c>
      <c r="AE864">
        <v>490</v>
      </c>
      <c r="AF864">
        <v>545</v>
      </c>
      <c r="AG864" t="s">
        <v>1644</v>
      </c>
      <c r="AH864" t="s">
        <v>65</v>
      </c>
      <c r="AI864" t="s">
        <v>65</v>
      </c>
      <c r="AJ864" t="s">
        <v>66</v>
      </c>
      <c r="AK864" t="s">
        <v>66</v>
      </c>
      <c r="AL864" t="s">
        <v>66</v>
      </c>
      <c r="AM864" s="2" t="str">
        <f>HYPERLINK("https://transparencia.cidesi.mx/comprobantes/2021/CQ2100858 /C1Concha.pdf")</f>
        <v>https://transparencia.cidesi.mx/comprobantes/2021/CQ2100858 /C1Concha.pdf</v>
      </c>
      <c r="AN864" t="str">
        <f>HYPERLINK("https://transparencia.cidesi.mx/comprobantes/2021/CQ2100858 /C1Concha.pdf")</f>
        <v>https://transparencia.cidesi.mx/comprobantes/2021/CQ2100858 /C1Concha.pdf</v>
      </c>
      <c r="AO864" t="str">
        <f>HYPERLINK("https://transparencia.cidesi.mx/comprobantes/2021/CQ2100858 /C1Concha.xml")</f>
        <v>https://transparencia.cidesi.mx/comprobantes/2021/CQ2100858 /C1Concha.xml</v>
      </c>
      <c r="AP864" t="s">
        <v>1673</v>
      </c>
      <c r="AQ864" t="s">
        <v>1673</v>
      </c>
      <c r="AR864" t="s">
        <v>1674</v>
      </c>
      <c r="AS864" t="s">
        <v>1674</v>
      </c>
      <c r="AT864" s="1">
        <v>44461</v>
      </c>
      <c r="AU864" s="1">
        <v>44470</v>
      </c>
    </row>
    <row r="865" spans="1:47" x14ac:dyDescent="0.3">
      <c r="A865" t="s">
        <v>47</v>
      </c>
      <c r="B865" t="s">
        <v>1675</v>
      </c>
      <c r="C865" t="s">
        <v>1676</v>
      </c>
      <c r="D865">
        <v>9068</v>
      </c>
      <c r="E865" t="s">
        <v>1677</v>
      </c>
      <c r="F865" t="s">
        <v>911</v>
      </c>
      <c r="G865" t="s">
        <v>1678</v>
      </c>
      <c r="H865" t="s">
        <v>1679</v>
      </c>
      <c r="I865" t="s">
        <v>54</v>
      </c>
      <c r="J865" t="s">
        <v>1680</v>
      </c>
      <c r="K865" t="s">
        <v>56</v>
      </c>
      <c r="L865">
        <v>0</v>
      </c>
      <c r="M865" t="s">
        <v>73</v>
      </c>
      <c r="N865">
        <v>0</v>
      </c>
      <c r="O865" t="s">
        <v>58</v>
      </c>
      <c r="P865" t="s">
        <v>59</v>
      </c>
      <c r="Q865" t="s">
        <v>60</v>
      </c>
      <c r="R865" t="s">
        <v>1680</v>
      </c>
      <c r="S865" s="1">
        <v>44385</v>
      </c>
      <c r="T865" s="1">
        <v>44385</v>
      </c>
      <c r="U865">
        <v>37501</v>
      </c>
      <c r="V865" t="s">
        <v>61</v>
      </c>
      <c r="W865" t="s">
        <v>1681</v>
      </c>
      <c r="X865" s="1">
        <v>44389</v>
      </c>
      <c r="Y865" t="s">
        <v>100</v>
      </c>
      <c r="Z865">
        <v>96.6</v>
      </c>
      <c r="AA865">
        <v>16</v>
      </c>
      <c r="AB865">
        <v>18.899999999999999</v>
      </c>
      <c r="AC865">
        <v>0</v>
      </c>
      <c r="AD865">
        <v>115.5</v>
      </c>
      <c r="AE865">
        <v>545</v>
      </c>
      <c r="AF865">
        <v>545</v>
      </c>
      <c r="AG865" t="s">
        <v>1682</v>
      </c>
      <c r="AH865" t="s">
        <v>66</v>
      </c>
      <c r="AI865" t="s">
        <v>65</v>
      </c>
      <c r="AJ865" t="s">
        <v>66</v>
      </c>
      <c r="AK865" t="s">
        <v>66</v>
      </c>
      <c r="AL865" t="s">
        <v>66</v>
      </c>
      <c r="AM865" s="2" t="str">
        <f>HYPERLINK("https://transparencia.cidesi.mx/comprobantes/2021/CQ2100500 /C1RLI930128AI5CFDI-554188.pdf")</f>
        <v>https://transparencia.cidesi.mx/comprobantes/2021/CQ2100500 /C1RLI930128AI5CFDI-554188.pdf</v>
      </c>
      <c r="AN865" t="str">
        <f>HYPERLINK("https://transparencia.cidesi.mx/comprobantes/2021/CQ2100500 /C1RLI930128AI5CFDI-554188.pdf")</f>
        <v>https://transparencia.cidesi.mx/comprobantes/2021/CQ2100500 /C1RLI930128AI5CFDI-554188.pdf</v>
      </c>
      <c r="AO865" t="str">
        <f>HYPERLINK("https://transparencia.cidesi.mx/comprobantes/2021/CQ2100500 /C1RLI930128AI5CFDI-554188.xml")</f>
        <v>https://transparencia.cidesi.mx/comprobantes/2021/CQ2100500 /C1RLI930128AI5CFDI-554188.xml</v>
      </c>
      <c r="AP865" t="s">
        <v>1680</v>
      </c>
      <c r="AQ865" t="s">
        <v>1680</v>
      </c>
      <c r="AR865" t="s">
        <v>1683</v>
      </c>
      <c r="AS865" t="s">
        <v>1684</v>
      </c>
      <c r="AT865" s="1">
        <v>44389</v>
      </c>
      <c r="AU865" t="s">
        <v>73</v>
      </c>
    </row>
    <row r="866" spans="1:47" x14ac:dyDescent="0.3">
      <c r="A866" t="s">
        <v>47</v>
      </c>
      <c r="B866" t="s">
        <v>1675</v>
      </c>
      <c r="C866" t="s">
        <v>1676</v>
      </c>
      <c r="D866">
        <v>9068</v>
      </c>
      <c r="E866" t="s">
        <v>1677</v>
      </c>
      <c r="F866" t="s">
        <v>911</v>
      </c>
      <c r="G866" t="s">
        <v>1678</v>
      </c>
      <c r="H866" t="s">
        <v>1679</v>
      </c>
      <c r="I866" t="s">
        <v>54</v>
      </c>
      <c r="J866" t="s">
        <v>1680</v>
      </c>
      <c r="K866" t="s">
        <v>56</v>
      </c>
      <c r="L866">
        <v>0</v>
      </c>
      <c r="M866" t="s">
        <v>73</v>
      </c>
      <c r="N866">
        <v>0</v>
      </c>
      <c r="O866" t="s">
        <v>58</v>
      </c>
      <c r="P866" t="s">
        <v>59</v>
      </c>
      <c r="Q866" t="s">
        <v>60</v>
      </c>
      <c r="R866" t="s">
        <v>1680</v>
      </c>
      <c r="S866" s="1">
        <v>44385</v>
      </c>
      <c r="T866" s="1">
        <v>44385</v>
      </c>
      <c r="U866">
        <v>37501</v>
      </c>
      <c r="V866" t="s">
        <v>61</v>
      </c>
      <c r="W866" t="s">
        <v>1681</v>
      </c>
      <c r="X866" s="1">
        <v>44389</v>
      </c>
      <c r="Y866" t="s">
        <v>100</v>
      </c>
      <c r="Z866">
        <v>370.26</v>
      </c>
      <c r="AA866">
        <v>16</v>
      </c>
      <c r="AB866">
        <v>59.24</v>
      </c>
      <c r="AC866">
        <v>0</v>
      </c>
      <c r="AD866">
        <v>429.5</v>
      </c>
      <c r="AE866">
        <v>545</v>
      </c>
      <c r="AF866">
        <v>545</v>
      </c>
      <c r="AG866" t="s">
        <v>1682</v>
      </c>
      <c r="AH866" t="s">
        <v>65</v>
      </c>
      <c r="AI866" t="s">
        <v>65</v>
      </c>
      <c r="AJ866" t="s">
        <v>66</v>
      </c>
      <c r="AK866" t="s">
        <v>66</v>
      </c>
      <c r="AL866" t="s">
        <v>66</v>
      </c>
      <c r="AM866" s="2" t="str">
        <f>HYPERLINK("https://transparencia.cidesi.mx/comprobantes/2021/CQ2100500 /C2C6E7CF0C-2762-41D4-9F1B-5EDC495C1ED2.pdf")</f>
        <v>https://transparencia.cidesi.mx/comprobantes/2021/CQ2100500 /C2C6E7CF0C-2762-41D4-9F1B-5EDC495C1ED2.pdf</v>
      </c>
      <c r="AN866" t="str">
        <f>HYPERLINK("https://transparencia.cidesi.mx/comprobantes/2021/CQ2100500 /C2C6E7CF0C-2762-41D4-9F1B-5EDC495C1ED2.pdf")</f>
        <v>https://transparencia.cidesi.mx/comprobantes/2021/CQ2100500 /C2C6E7CF0C-2762-41D4-9F1B-5EDC495C1ED2.pdf</v>
      </c>
      <c r="AO866" t="str">
        <f>HYPERLINK("https://transparencia.cidesi.mx/comprobantes/2021/CQ2100500 /C2C6E7CF0C-2762-41D4-9F1B-5EDC495C1ED2.xml")</f>
        <v>https://transparencia.cidesi.mx/comprobantes/2021/CQ2100500 /C2C6E7CF0C-2762-41D4-9F1B-5EDC495C1ED2.xml</v>
      </c>
      <c r="AP866" t="s">
        <v>1680</v>
      </c>
      <c r="AQ866" t="s">
        <v>1680</v>
      </c>
      <c r="AR866" t="s">
        <v>1683</v>
      </c>
      <c r="AS866" t="s">
        <v>1684</v>
      </c>
      <c r="AT866" s="1">
        <v>44389</v>
      </c>
      <c r="AU866" t="s">
        <v>73</v>
      </c>
    </row>
    <row r="867" spans="1:47" x14ac:dyDescent="0.3">
      <c r="A867" t="s">
        <v>246</v>
      </c>
      <c r="B867" t="s">
        <v>48</v>
      </c>
      <c r="C867" t="s">
        <v>338</v>
      </c>
      <c r="D867">
        <v>9072</v>
      </c>
      <c r="E867" t="s">
        <v>1685</v>
      </c>
      <c r="F867" t="s">
        <v>352</v>
      </c>
      <c r="G867" t="s">
        <v>912</v>
      </c>
      <c r="H867" t="s">
        <v>1686</v>
      </c>
      <c r="I867" t="s">
        <v>54</v>
      </c>
      <c r="J867" t="s">
        <v>1687</v>
      </c>
      <c r="K867" t="s">
        <v>56</v>
      </c>
      <c r="L867">
        <v>0</v>
      </c>
      <c r="M867" t="s">
        <v>73</v>
      </c>
      <c r="N867">
        <v>0</v>
      </c>
      <c r="O867" t="s">
        <v>58</v>
      </c>
      <c r="P867" t="s">
        <v>59</v>
      </c>
      <c r="Q867" t="s">
        <v>87</v>
      </c>
      <c r="R867" t="s">
        <v>1687</v>
      </c>
      <c r="S867" s="1">
        <v>44397</v>
      </c>
      <c r="T867" s="1">
        <v>44397</v>
      </c>
      <c r="U867">
        <v>37501</v>
      </c>
      <c r="V867" t="s">
        <v>61</v>
      </c>
      <c r="W867" t="s">
        <v>1688</v>
      </c>
      <c r="X867" s="1">
        <v>44400</v>
      </c>
      <c r="Y867" t="s">
        <v>63</v>
      </c>
      <c r="Z867">
        <v>123.28</v>
      </c>
      <c r="AA867">
        <v>16</v>
      </c>
      <c r="AB867">
        <v>19.72</v>
      </c>
      <c r="AC867">
        <v>0</v>
      </c>
      <c r="AD867">
        <v>143</v>
      </c>
      <c r="AE867">
        <v>531</v>
      </c>
      <c r="AF867">
        <v>545</v>
      </c>
      <c r="AG867" t="s">
        <v>1689</v>
      </c>
      <c r="AH867" t="s">
        <v>65</v>
      </c>
      <c r="AI867" t="s">
        <v>65</v>
      </c>
      <c r="AJ867" t="s">
        <v>66</v>
      </c>
      <c r="AK867" t="s">
        <v>66</v>
      </c>
      <c r="AL867" t="s">
        <v>66</v>
      </c>
      <c r="AM867" s="2" t="str">
        <f>HYPERLINK("https://transparencia.cidesi.mx/comprobantes/2021/CQ2100544 /C1STARBUCKS69237363.pdf")</f>
        <v>https://transparencia.cidesi.mx/comprobantes/2021/CQ2100544 /C1STARBUCKS69237363.pdf</v>
      </c>
      <c r="AN867" t="str">
        <f>HYPERLINK("https://transparencia.cidesi.mx/comprobantes/2021/CQ2100544 /C1STARBUCKS69237363.pdf")</f>
        <v>https://transparencia.cidesi.mx/comprobantes/2021/CQ2100544 /C1STARBUCKS69237363.pdf</v>
      </c>
      <c r="AO867" t="str">
        <f>HYPERLINK("https://transparencia.cidesi.mx/comprobantes/2021/CQ2100544 /C1STARBUCKS69237363.xml")</f>
        <v>https://transparencia.cidesi.mx/comprobantes/2021/CQ2100544 /C1STARBUCKS69237363.xml</v>
      </c>
      <c r="AP867" t="s">
        <v>1687</v>
      </c>
      <c r="AQ867" t="s">
        <v>1687</v>
      </c>
      <c r="AR867" t="s">
        <v>1687</v>
      </c>
      <c r="AS867" t="s">
        <v>1687</v>
      </c>
      <c r="AT867" s="1">
        <v>44404</v>
      </c>
      <c r="AU867" s="1">
        <v>44424</v>
      </c>
    </row>
    <row r="868" spans="1:47" x14ac:dyDescent="0.3">
      <c r="A868" t="s">
        <v>246</v>
      </c>
      <c r="B868" t="s">
        <v>48</v>
      </c>
      <c r="C868" t="s">
        <v>338</v>
      </c>
      <c r="D868">
        <v>9072</v>
      </c>
      <c r="E868" t="s">
        <v>1685</v>
      </c>
      <c r="F868" t="s">
        <v>352</v>
      </c>
      <c r="G868" t="s">
        <v>912</v>
      </c>
      <c r="H868" t="s">
        <v>1686</v>
      </c>
      <c r="I868" t="s">
        <v>54</v>
      </c>
      <c r="J868" t="s">
        <v>1687</v>
      </c>
      <c r="K868" t="s">
        <v>56</v>
      </c>
      <c r="L868">
        <v>0</v>
      </c>
      <c r="M868" t="s">
        <v>73</v>
      </c>
      <c r="N868">
        <v>0</v>
      </c>
      <c r="O868" t="s">
        <v>58</v>
      </c>
      <c r="P868" t="s">
        <v>59</v>
      </c>
      <c r="Q868" t="s">
        <v>87</v>
      </c>
      <c r="R868" t="s">
        <v>1687</v>
      </c>
      <c r="S868" s="1">
        <v>44397</v>
      </c>
      <c r="T868" s="1">
        <v>44397</v>
      </c>
      <c r="U868">
        <v>37501</v>
      </c>
      <c r="V868" t="s">
        <v>61</v>
      </c>
      <c r="W868" t="s">
        <v>1688</v>
      </c>
      <c r="X868" s="1">
        <v>44400</v>
      </c>
      <c r="Y868" t="s">
        <v>63</v>
      </c>
      <c r="Z868">
        <v>304.31</v>
      </c>
      <c r="AA868">
        <v>16</v>
      </c>
      <c r="AB868">
        <v>48.69</v>
      </c>
      <c r="AC868">
        <v>35</v>
      </c>
      <c r="AD868">
        <v>388</v>
      </c>
      <c r="AE868">
        <v>531</v>
      </c>
      <c r="AF868">
        <v>545</v>
      </c>
      <c r="AG868" t="s">
        <v>1689</v>
      </c>
      <c r="AH868" t="s">
        <v>65</v>
      </c>
      <c r="AI868" t="s">
        <v>65</v>
      </c>
      <c r="AJ868" t="s">
        <v>66</v>
      </c>
      <c r="AK868" t="s">
        <v>66</v>
      </c>
      <c r="AL868" t="s">
        <v>66</v>
      </c>
      <c r="AM868" s="2" t="str">
        <f>HYPERLINK("https://transparencia.cidesi.mx/comprobantes/2021/CQ2100544 /C2VACAGEX0108298K9FB0000089292.pdf")</f>
        <v>https://transparencia.cidesi.mx/comprobantes/2021/CQ2100544 /C2VACAGEX0108298K9FB0000089292.pdf</v>
      </c>
      <c r="AN868" t="str">
        <f>HYPERLINK("https://transparencia.cidesi.mx/comprobantes/2021/CQ2100544 /C2VACAGEX0108298K9FB0000089292.pdf")</f>
        <v>https://transparencia.cidesi.mx/comprobantes/2021/CQ2100544 /C2VACAGEX0108298K9FB0000089292.pdf</v>
      </c>
      <c r="AO868" t="str">
        <f>HYPERLINK("https://transparencia.cidesi.mx/comprobantes/2021/CQ2100544 /C2VACAGEX0108298K9FB0000089292.xml")</f>
        <v>https://transparencia.cidesi.mx/comprobantes/2021/CQ2100544 /C2VACAGEX0108298K9FB0000089292.xml</v>
      </c>
      <c r="AP868" t="s">
        <v>1687</v>
      </c>
      <c r="AQ868" t="s">
        <v>1687</v>
      </c>
      <c r="AR868" t="s">
        <v>1687</v>
      </c>
      <c r="AS868" t="s">
        <v>1687</v>
      </c>
      <c r="AT868" s="1">
        <v>44404</v>
      </c>
      <c r="AU868" s="1">
        <v>44424</v>
      </c>
    </row>
    <row r="869" spans="1:47" x14ac:dyDescent="0.3">
      <c r="A869" t="s">
        <v>246</v>
      </c>
      <c r="B869" t="s">
        <v>48</v>
      </c>
      <c r="C869" t="s">
        <v>338</v>
      </c>
      <c r="D869">
        <v>9072</v>
      </c>
      <c r="E869" t="s">
        <v>1685</v>
      </c>
      <c r="F869" t="s">
        <v>352</v>
      </c>
      <c r="G869" t="s">
        <v>912</v>
      </c>
      <c r="H869" t="s">
        <v>1690</v>
      </c>
      <c r="I869" t="s">
        <v>54</v>
      </c>
      <c r="J869" t="s">
        <v>1687</v>
      </c>
      <c r="K869" t="s">
        <v>56</v>
      </c>
      <c r="L869">
        <v>0</v>
      </c>
      <c r="M869" t="s">
        <v>73</v>
      </c>
      <c r="N869">
        <v>0</v>
      </c>
      <c r="O869" t="s">
        <v>58</v>
      </c>
      <c r="P869" t="s">
        <v>59</v>
      </c>
      <c r="Q869" t="s">
        <v>1691</v>
      </c>
      <c r="R869" t="s">
        <v>1687</v>
      </c>
      <c r="S869" s="1">
        <v>44406</v>
      </c>
      <c r="T869" s="1">
        <v>44407</v>
      </c>
      <c r="U869">
        <v>37501</v>
      </c>
      <c r="V869" t="s">
        <v>61</v>
      </c>
      <c r="W869" t="s">
        <v>1692</v>
      </c>
      <c r="X869" s="1">
        <v>44413</v>
      </c>
      <c r="Y869" t="s">
        <v>63</v>
      </c>
      <c r="Z869">
        <v>163.79</v>
      </c>
      <c r="AA869">
        <v>16</v>
      </c>
      <c r="AB869">
        <v>26.21</v>
      </c>
      <c r="AC869">
        <v>19</v>
      </c>
      <c r="AD869">
        <v>209</v>
      </c>
      <c r="AE869">
        <v>1633.01</v>
      </c>
      <c r="AF869">
        <v>1636</v>
      </c>
      <c r="AG869" t="s">
        <v>1689</v>
      </c>
      <c r="AH869" t="s">
        <v>65</v>
      </c>
      <c r="AI869" t="s">
        <v>65</v>
      </c>
      <c r="AJ869" t="s">
        <v>66</v>
      </c>
      <c r="AK869" t="s">
        <v>66</v>
      </c>
      <c r="AL869" t="s">
        <v>66</v>
      </c>
      <c r="AM869" s="2" t="str">
        <f>HYPERLINK("https://transparencia.cidesi.mx/comprobantes/2021/CQ2100611 /C1kua3C1FC3B5-361A-4D97-B2D3-5EBD4FE6974E.pdf")</f>
        <v>https://transparencia.cidesi.mx/comprobantes/2021/CQ2100611 /C1kua3C1FC3B5-361A-4D97-B2D3-5EBD4FE6974E.pdf</v>
      </c>
      <c r="AN869" t="str">
        <f>HYPERLINK("https://transparencia.cidesi.mx/comprobantes/2021/CQ2100611 /C1kua3C1FC3B5-361A-4D97-B2D3-5EBD4FE6974E.pdf")</f>
        <v>https://transparencia.cidesi.mx/comprobantes/2021/CQ2100611 /C1kua3C1FC3B5-361A-4D97-B2D3-5EBD4FE6974E.pdf</v>
      </c>
      <c r="AO869" t="str">
        <f>HYPERLINK("https://transparencia.cidesi.mx/comprobantes/2021/CQ2100611 /C1kua3C1FC3B5-361A-4D97-B2D3-5EBD4FE6974E.xml")</f>
        <v>https://transparencia.cidesi.mx/comprobantes/2021/CQ2100611 /C1kua3C1FC3B5-361A-4D97-B2D3-5EBD4FE6974E.xml</v>
      </c>
      <c r="AP869" t="s">
        <v>1693</v>
      </c>
      <c r="AQ869" t="s">
        <v>1694</v>
      </c>
      <c r="AR869" t="s">
        <v>1694</v>
      </c>
      <c r="AS869" t="s">
        <v>1694</v>
      </c>
      <c r="AT869" s="1">
        <v>44417</v>
      </c>
      <c r="AU869" s="1">
        <v>44424</v>
      </c>
    </row>
    <row r="870" spans="1:47" x14ac:dyDescent="0.3">
      <c r="A870" t="s">
        <v>246</v>
      </c>
      <c r="B870" t="s">
        <v>48</v>
      </c>
      <c r="C870" t="s">
        <v>338</v>
      </c>
      <c r="D870">
        <v>9072</v>
      </c>
      <c r="E870" t="s">
        <v>1685</v>
      </c>
      <c r="F870" t="s">
        <v>352</v>
      </c>
      <c r="G870" t="s">
        <v>912</v>
      </c>
      <c r="H870" t="s">
        <v>1690</v>
      </c>
      <c r="I870" t="s">
        <v>54</v>
      </c>
      <c r="J870" t="s">
        <v>1687</v>
      </c>
      <c r="K870" t="s">
        <v>56</v>
      </c>
      <c r="L870">
        <v>0</v>
      </c>
      <c r="M870" t="s">
        <v>73</v>
      </c>
      <c r="N870">
        <v>0</v>
      </c>
      <c r="O870" t="s">
        <v>58</v>
      </c>
      <c r="P870" t="s">
        <v>59</v>
      </c>
      <c r="Q870" t="s">
        <v>1691</v>
      </c>
      <c r="R870" t="s">
        <v>1687</v>
      </c>
      <c r="S870" s="1">
        <v>44406</v>
      </c>
      <c r="T870" s="1">
        <v>44407</v>
      </c>
      <c r="U870">
        <v>37501</v>
      </c>
      <c r="V870" t="s">
        <v>61</v>
      </c>
      <c r="W870" t="s">
        <v>1692</v>
      </c>
      <c r="X870" s="1">
        <v>44413</v>
      </c>
      <c r="Y870" t="s">
        <v>63</v>
      </c>
      <c r="Z870">
        <v>293.97000000000003</v>
      </c>
      <c r="AA870">
        <v>16</v>
      </c>
      <c r="AB870">
        <v>47.04</v>
      </c>
      <c r="AC870">
        <v>0</v>
      </c>
      <c r="AD870">
        <v>341.01</v>
      </c>
      <c r="AE870">
        <v>1633.01</v>
      </c>
      <c r="AF870">
        <v>1636</v>
      </c>
      <c r="AG870" t="s">
        <v>1689</v>
      </c>
      <c r="AH870" t="s">
        <v>65</v>
      </c>
      <c r="AI870" t="s">
        <v>65</v>
      </c>
      <c r="AJ870" t="s">
        <v>66</v>
      </c>
      <c r="AK870" t="s">
        <v>66</v>
      </c>
      <c r="AL870" t="s">
        <v>66</v>
      </c>
      <c r="AM870" s="2" t="str">
        <f>HYPERLINK("https://transparencia.cidesi.mx/comprobantes/2021/CQ2100611 /C2lavacaGEX0108298K9FB0000089636.pdf")</f>
        <v>https://transparencia.cidesi.mx/comprobantes/2021/CQ2100611 /C2lavacaGEX0108298K9FB0000089636.pdf</v>
      </c>
      <c r="AN870" t="str">
        <f>HYPERLINK("https://transparencia.cidesi.mx/comprobantes/2021/CQ2100611 /C2lavacaGEX0108298K9FB0000089636.pdf")</f>
        <v>https://transparencia.cidesi.mx/comprobantes/2021/CQ2100611 /C2lavacaGEX0108298K9FB0000089636.pdf</v>
      </c>
      <c r="AO870" t="str">
        <f>HYPERLINK("https://transparencia.cidesi.mx/comprobantes/2021/CQ2100611 /C2lavacaGEX0108298K9FB0000089636.xml")</f>
        <v>https://transparencia.cidesi.mx/comprobantes/2021/CQ2100611 /C2lavacaGEX0108298K9FB0000089636.xml</v>
      </c>
      <c r="AP870" t="s">
        <v>1693</v>
      </c>
      <c r="AQ870" t="s">
        <v>1694</v>
      </c>
      <c r="AR870" t="s">
        <v>1694</v>
      </c>
      <c r="AS870" t="s">
        <v>1694</v>
      </c>
      <c r="AT870" s="1">
        <v>44417</v>
      </c>
      <c r="AU870" s="1">
        <v>44424</v>
      </c>
    </row>
    <row r="871" spans="1:47" x14ac:dyDescent="0.3">
      <c r="A871" t="s">
        <v>246</v>
      </c>
      <c r="B871" t="s">
        <v>48</v>
      </c>
      <c r="C871" t="s">
        <v>338</v>
      </c>
      <c r="D871">
        <v>9072</v>
      </c>
      <c r="E871" t="s">
        <v>1685</v>
      </c>
      <c r="F871" t="s">
        <v>352</v>
      </c>
      <c r="G871" t="s">
        <v>912</v>
      </c>
      <c r="H871" t="s">
        <v>1690</v>
      </c>
      <c r="I871" t="s">
        <v>54</v>
      </c>
      <c r="J871" t="s">
        <v>1687</v>
      </c>
      <c r="K871" t="s">
        <v>56</v>
      </c>
      <c r="L871">
        <v>0</v>
      </c>
      <c r="M871" t="s">
        <v>73</v>
      </c>
      <c r="N871">
        <v>0</v>
      </c>
      <c r="O871" t="s">
        <v>58</v>
      </c>
      <c r="P871" t="s">
        <v>59</v>
      </c>
      <c r="Q871" t="s">
        <v>1691</v>
      </c>
      <c r="R871" t="s">
        <v>1687</v>
      </c>
      <c r="S871" s="1">
        <v>44406</v>
      </c>
      <c r="T871" s="1">
        <v>44407</v>
      </c>
      <c r="U871">
        <v>37501</v>
      </c>
      <c r="V871" t="s">
        <v>61</v>
      </c>
      <c r="W871" t="s">
        <v>1692</v>
      </c>
      <c r="X871" s="1">
        <v>44413</v>
      </c>
      <c r="Y871" t="s">
        <v>63</v>
      </c>
      <c r="Z871">
        <v>287.07</v>
      </c>
      <c r="AA871">
        <v>16</v>
      </c>
      <c r="AB871">
        <v>45.93</v>
      </c>
      <c r="AC871">
        <v>33</v>
      </c>
      <c r="AD871">
        <v>366</v>
      </c>
      <c r="AE871">
        <v>1633.01</v>
      </c>
      <c r="AF871">
        <v>1636</v>
      </c>
      <c r="AG871" t="s">
        <v>1689</v>
      </c>
      <c r="AH871" t="s">
        <v>65</v>
      </c>
      <c r="AI871" t="s">
        <v>65</v>
      </c>
      <c r="AJ871" t="s">
        <v>66</v>
      </c>
      <c r="AK871" t="s">
        <v>66</v>
      </c>
      <c r="AL871" t="s">
        <v>66</v>
      </c>
      <c r="AM871" s="2" t="str">
        <f>HYPERLINK("https://transparencia.cidesi.mx/comprobantes/2021/CQ2100611 /C3vips33369390025.pdf")</f>
        <v>https://transparencia.cidesi.mx/comprobantes/2021/CQ2100611 /C3vips33369390025.pdf</v>
      </c>
      <c r="AN871" t="str">
        <f>HYPERLINK("https://transparencia.cidesi.mx/comprobantes/2021/CQ2100611 /C3vips33369390025.pdf")</f>
        <v>https://transparencia.cidesi.mx/comprobantes/2021/CQ2100611 /C3vips33369390025.pdf</v>
      </c>
      <c r="AO871" t="str">
        <f>HYPERLINK("https://transparencia.cidesi.mx/comprobantes/2021/CQ2100611 /C3vips33369390025.xml")</f>
        <v>https://transparencia.cidesi.mx/comprobantes/2021/CQ2100611 /C3vips33369390025.xml</v>
      </c>
      <c r="AP871" t="s">
        <v>1693</v>
      </c>
      <c r="AQ871" t="s">
        <v>1694</v>
      </c>
      <c r="AR871" t="s">
        <v>1694</v>
      </c>
      <c r="AS871" t="s">
        <v>1694</v>
      </c>
      <c r="AT871" s="1">
        <v>44417</v>
      </c>
      <c r="AU871" s="1">
        <v>44424</v>
      </c>
    </row>
    <row r="872" spans="1:47" x14ac:dyDescent="0.3">
      <c r="A872" t="s">
        <v>246</v>
      </c>
      <c r="B872" t="s">
        <v>48</v>
      </c>
      <c r="C872" t="s">
        <v>338</v>
      </c>
      <c r="D872">
        <v>9072</v>
      </c>
      <c r="E872" t="s">
        <v>1685</v>
      </c>
      <c r="F872" t="s">
        <v>352</v>
      </c>
      <c r="G872" t="s">
        <v>912</v>
      </c>
      <c r="H872" t="s">
        <v>1690</v>
      </c>
      <c r="I872" t="s">
        <v>54</v>
      </c>
      <c r="J872" t="s">
        <v>1687</v>
      </c>
      <c r="K872" t="s">
        <v>56</v>
      </c>
      <c r="L872">
        <v>0</v>
      </c>
      <c r="M872" t="s">
        <v>73</v>
      </c>
      <c r="N872">
        <v>0</v>
      </c>
      <c r="O872" t="s">
        <v>58</v>
      </c>
      <c r="P872" t="s">
        <v>59</v>
      </c>
      <c r="Q872" t="s">
        <v>1691</v>
      </c>
      <c r="R872" t="s">
        <v>1687</v>
      </c>
      <c r="S872" s="1">
        <v>44406</v>
      </c>
      <c r="T872" s="1">
        <v>44407</v>
      </c>
      <c r="U872">
        <v>37501</v>
      </c>
      <c r="V872" t="s">
        <v>61</v>
      </c>
      <c r="W872" t="s">
        <v>1692</v>
      </c>
      <c r="X872" s="1">
        <v>44413</v>
      </c>
      <c r="Y872" t="s">
        <v>63</v>
      </c>
      <c r="Z872">
        <v>170.69</v>
      </c>
      <c r="AA872">
        <v>16</v>
      </c>
      <c r="AB872">
        <v>27.31</v>
      </c>
      <c r="AC872">
        <v>19</v>
      </c>
      <c r="AD872">
        <v>217</v>
      </c>
      <c r="AE872">
        <v>1633.01</v>
      </c>
      <c r="AF872">
        <v>1636</v>
      </c>
      <c r="AG872" t="s">
        <v>1689</v>
      </c>
      <c r="AH872" t="s">
        <v>65</v>
      </c>
      <c r="AI872" t="s">
        <v>65</v>
      </c>
      <c r="AJ872" t="s">
        <v>66</v>
      </c>
      <c r="AK872" t="s">
        <v>66</v>
      </c>
      <c r="AL872" t="s">
        <v>66</v>
      </c>
      <c r="AM872" s="2" t="str">
        <f>HYPERLINK("https://transparencia.cidesi.mx/comprobantes/2021/CQ2100611 /C4vip19869390085.pdf")</f>
        <v>https://transparencia.cidesi.mx/comprobantes/2021/CQ2100611 /C4vip19869390085.pdf</v>
      </c>
      <c r="AN872" t="str">
        <f>HYPERLINK("https://transparencia.cidesi.mx/comprobantes/2021/CQ2100611 /C4vip19869390085.pdf")</f>
        <v>https://transparencia.cidesi.mx/comprobantes/2021/CQ2100611 /C4vip19869390085.pdf</v>
      </c>
      <c r="AO872" t="str">
        <f>HYPERLINK("https://transparencia.cidesi.mx/comprobantes/2021/CQ2100611 /C4vip19869390085.xml")</f>
        <v>https://transparencia.cidesi.mx/comprobantes/2021/CQ2100611 /C4vip19869390085.xml</v>
      </c>
      <c r="AP872" t="s">
        <v>1693</v>
      </c>
      <c r="AQ872" t="s">
        <v>1694</v>
      </c>
      <c r="AR872" t="s">
        <v>1694</v>
      </c>
      <c r="AS872" t="s">
        <v>1694</v>
      </c>
      <c r="AT872" s="1">
        <v>44417</v>
      </c>
      <c r="AU872" s="1">
        <v>44424</v>
      </c>
    </row>
    <row r="873" spans="1:47" x14ac:dyDescent="0.3">
      <c r="A873" t="s">
        <v>246</v>
      </c>
      <c r="B873" t="s">
        <v>48</v>
      </c>
      <c r="C873" t="s">
        <v>338</v>
      </c>
      <c r="D873">
        <v>9072</v>
      </c>
      <c r="E873" t="s">
        <v>1685</v>
      </c>
      <c r="F873" t="s">
        <v>352</v>
      </c>
      <c r="G873" t="s">
        <v>912</v>
      </c>
      <c r="H873" t="s">
        <v>1690</v>
      </c>
      <c r="I873" t="s">
        <v>54</v>
      </c>
      <c r="J873" t="s">
        <v>1687</v>
      </c>
      <c r="K873" t="s">
        <v>56</v>
      </c>
      <c r="L873">
        <v>0</v>
      </c>
      <c r="M873" t="s">
        <v>73</v>
      </c>
      <c r="N873">
        <v>0</v>
      </c>
      <c r="O873" t="s">
        <v>58</v>
      </c>
      <c r="P873" t="s">
        <v>59</v>
      </c>
      <c r="Q873" t="s">
        <v>1691</v>
      </c>
      <c r="R873" t="s">
        <v>1687</v>
      </c>
      <c r="S873" s="1">
        <v>44406</v>
      </c>
      <c r="T873" s="1">
        <v>44407</v>
      </c>
      <c r="U873">
        <v>37501</v>
      </c>
      <c r="V873" t="s">
        <v>104</v>
      </c>
      <c r="W873" t="s">
        <v>1692</v>
      </c>
      <c r="X873" s="1">
        <v>44413</v>
      </c>
      <c r="Y873" t="s">
        <v>63</v>
      </c>
      <c r="Z873">
        <v>432.2</v>
      </c>
      <c r="AA873">
        <v>16</v>
      </c>
      <c r="AB873">
        <v>67.8</v>
      </c>
      <c r="AC873">
        <v>0</v>
      </c>
      <c r="AD873">
        <v>500</v>
      </c>
      <c r="AE873">
        <v>1633.01</v>
      </c>
      <c r="AF873">
        <v>1636</v>
      </c>
      <c r="AG873" t="s">
        <v>1695</v>
      </c>
      <c r="AH873" t="s">
        <v>65</v>
      </c>
      <c r="AI873" t="s">
        <v>65</v>
      </c>
      <c r="AJ873" t="s">
        <v>66</v>
      </c>
      <c r="AK873" t="s">
        <v>66</v>
      </c>
      <c r="AL873" t="s">
        <v>66</v>
      </c>
      <c r="AM873" s="2" t="str">
        <f>HYPERLINK("https://transparencia.cidesi.mx/comprobantes/2021/CQ2100611 /C5hotelA-1847.pdf")</f>
        <v>https://transparencia.cidesi.mx/comprobantes/2021/CQ2100611 /C5hotelA-1847.pdf</v>
      </c>
      <c r="AN873" t="str">
        <f>HYPERLINK("https://transparencia.cidesi.mx/comprobantes/2021/CQ2100611 /C5hotelA-1847.pdf")</f>
        <v>https://transparencia.cidesi.mx/comprobantes/2021/CQ2100611 /C5hotelA-1847.pdf</v>
      </c>
      <c r="AO873" t="str">
        <f>HYPERLINK("https://transparencia.cidesi.mx/comprobantes/2021/CQ2100611 /C5hotelA-1847.xml")</f>
        <v>https://transparencia.cidesi.mx/comprobantes/2021/CQ2100611 /C5hotelA-1847.xml</v>
      </c>
      <c r="AP873" t="s">
        <v>1693</v>
      </c>
      <c r="AQ873" t="s">
        <v>1694</v>
      </c>
      <c r="AR873" t="s">
        <v>1694</v>
      </c>
      <c r="AS873" t="s">
        <v>1694</v>
      </c>
      <c r="AT873" s="1">
        <v>44417</v>
      </c>
      <c r="AU873" s="1">
        <v>44424</v>
      </c>
    </row>
    <row r="874" spans="1:47" x14ac:dyDescent="0.3">
      <c r="A874" t="s">
        <v>246</v>
      </c>
      <c r="B874" t="s">
        <v>48</v>
      </c>
      <c r="C874" t="s">
        <v>338</v>
      </c>
      <c r="D874">
        <v>9072</v>
      </c>
      <c r="E874" t="s">
        <v>1685</v>
      </c>
      <c r="F874" t="s">
        <v>352</v>
      </c>
      <c r="G874" t="s">
        <v>912</v>
      </c>
      <c r="H874" t="s">
        <v>1696</v>
      </c>
      <c r="I874" t="s">
        <v>54</v>
      </c>
      <c r="J874" t="s">
        <v>1697</v>
      </c>
      <c r="K874" t="s">
        <v>56</v>
      </c>
      <c r="L874">
        <v>0</v>
      </c>
      <c r="M874" t="s">
        <v>73</v>
      </c>
      <c r="N874">
        <v>0</v>
      </c>
      <c r="O874" t="s">
        <v>58</v>
      </c>
      <c r="P874" t="s">
        <v>59</v>
      </c>
      <c r="Q874" t="s">
        <v>1698</v>
      </c>
      <c r="R874" t="s">
        <v>1697</v>
      </c>
      <c r="S874" s="1">
        <v>44419</v>
      </c>
      <c r="T874" s="1">
        <v>44421</v>
      </c>
      <c r="U874">
        <v>37501</v>
      </c>
      <c r="V874" t="s">
        <v>61</v>
      </c>
      <c r="W874" t="s">
        <v>1699</v>
      </c>
      <c r="X874" s="1">
        <v>44426</v>
      </c>
      <c r="Y874" t="s">
        <v>63</v>
      </c>
      <c r="Z874">
        <v>147.4</v>
      </c>
      <c r="AA874">
        <v>0</v>
      </c>
      <c r="AB874">
        <v>0</v>
      </c>
      <c r="AC874">
        <v>0</v>
      </c>
      <c r="AD874">
        <v>147.4</v>
      </c>
      <c r="AE874">
        <v>1929.3</v>
      </c>
      <c r="AF874">
        <v>2727</v>
      </c>
      <c r="AG874" t="s">
        <v>1689</v>
      </c>
      <c r="AH874" t="s">
        <v>65</v>
      </c>
      <c r="AI874" t="s">
        <v>65</v>
      </c>
      <c r="AJ874" t="s">
        <v>66</v>
      </c>
      <c r="AK874" t="s">
        <v>66</v>
      </c>
      <c r="AL874" t="s">
        <v>66</v>
      </c>
      <c r="AM874" s="2" t="str">
        <f>HYPERLINK("https://transparencia.cidesi.mx/comprobantes/2021/CQ2100664 /C1oxxoFACTURA_1629291148378_341220949.pdf")</f>
        <v>https://transparencia.cidesi.mx/comprobantes/2021/CQ2100664 /C1oxxoFACTURA_1629291148378_341220949.pdf</v>
      </c>
      <c r="AN874" t="str">
        <f>HYPERLINK("https://transparencia.cidesi.mx/comprobantes/2021/CQ2100664 /C1oxxoFACTURA_1629291148378_341220949.pdf")</f>
        <v>https://transparencia.cidesi.mx/comprobantes/2021/CQ2100664 /C1oxxoFACTURA_1629291148378_341220949.pdf</v>
      </c>
      <c r="AO874" t="str">
        <f>HYPERLINK("https://transparencia.cidesi.mx/comprobantes/2021/CQ2100664 /C1oxxoFACTURA_1629291148378_341220949.xml")</f>
        <v>https://transparencia.cidesi.mx/comprobantes/2021/CQ2100664 /C1oxxoFACTURA_1629291148378_341220949.xml</v>
      </c>
      <c r="AP874" t="s">
        <v>1697</v>
      </c>
      <c r="AQ874" t="s">
        <v>1697</v>
      </c>
      <c r="AR874" t="s">
        <v>1697</v>
      </c>
      <c r="AS874" t="s">
        <v>1697</v>
      </c>
      <c r="AT874" s="1">
        <v>44431</v>
      </c>
      <c r="AU874" s="1">
        <v>44432</v>
      </c>
    </row>
    <row r="875" spans="1:47" x14ac:dyDescent="0.3">
      <c r="A875" t="s">
        <v>246</v>
      </c>
      <c r="B875" t="s">
        <v>48</v>
      </c>
      <c r="C875" t="s">
        <v>338</v>
      </c>
      <c r="D875">
        <v>9072</v>
      </c>
      <c r="E875" t="s">
        <v>1685</v>
      </c>
      <c r="F875" t="s">
        <v>352</v>
      </c>
      <c r="G875" t="s">
        <v>912</v>
      </c>
      <c r="H875" t="s">
        <v>1696</v>
      </c>
      <c r="I875" t="s">
        <v>54</v>
      </c>
      <c r="J875" t="s">
        <v>1697</v>
      </c>
      <c r="K875" t="s">
        <v>56</v>
      </c>
      <c r="L875">
        <v>0</v>
      </c>
      <c r="M875" t="s">
        <v>73</v>
      </c>
      <c r="N875">
        <v>0</v>
      </c>
      <c r="O875" t="s">
        <v>58</v>
      </c>
      <c r="P875" t="s">
        <v>59</v>
      </c>
      <c r="Q875" t="s">
        <v>1698</v>
      </c>
      <c r="R875" t="s">
        <v>1697</v>
      </c>
      <c r="S875" s="1">
        <v>44419</v>
      </c>
      <c r="T875" s="1">
        <v>44421</v>
      </c>
      <c r="U875">
        <v>37501</v>
      </c>
      <c r="V875" t="s">
        <v>61</v>
      </c>
      <c r="W875" t="s">
        <v>1699</v>
      </c>
      <c r="X875" s="1">
        <v>44426</v>
      </c>
      <c r="Y875" t="s">
        <v>63</v>
      </c>
      <c r="Z875">
        <v>356.03</v>
      </c>
      <c r="AA875">
        <v>16</v>
      </c>
      <c r="AB875">
        <v>56.96</v>
      </c>
      <c r="AC875">
        <v>41</v>
      </c>
      <c r="AD875">
        <v>453.99</v>
      </c>
      <c r="AE875">
        <v>1929.3</v>
      </c>
      <c r="AF875">
        <v>2727</v>
      </c>
      <c r="AG875" t="s">
        <v>1689</v>
      </c>
      <c r="AH875" t="s">
        <v>65</v>
      </c>
      <c r="AI875" t="s">
        <v>65</v>
      </c>
      <c r="AJ875" t="s">
        <v>66</v>
      </c>
      <c r="AK875" t="s">
        <v>66</v>
      </c>
      <c r="AL875" t="s">
        <v>66</v>
      </c>
      <c r="AM875" s="2" t="str">
        <f>HYPERLINK("https://transparencia.cidesi.mx/comprobantes/2021/CQ2100664 /C2lavacaGEX0108298K9FB0000090135.pdf")</f>
        <v>https://transparencia.cidesi.mx/comprobantes/2021/CQ2100664 /C2lavacaGEX0108298K9FB0000090135.pdf</v>
      </c>
      <c r="AN875" t="str">
        <f>HYPERLINK("https://transparencia.cidesi.mx/comprobantes/2021/CQ2100664 /C2lavacaGEX0108298K9FB0000090135.pdf")</f>
        <v>https://transparencia.cidesi.mx/comprobantes/2021/CQ2100664 /C2lavacaGEX0108298K9FB0000090135.pdf</v>
      </c>
      <c r="AO875" t="str">
        <f>HYPERLINK("https://transparencia.cidesi.mx/comprobantes/2021/CQ2100664 /C2lavacaGEX0108298K9FB0000090135.xml")</f>
        <v>https://transparencia.cidesi.mx/comprobantes/2021/CQ2100664 /C2lavacaGEX0108298K9FB0000090135.xml</v>
      </c>
      <c r="AP875" t="s">
        <v>1697</v>
      </c>
      <c r="AQ875" t="s">
        <v>1697</v>
      </c>
      <c r="AR875" t="s">
        <v>1697</v>
      </c>
      <c r="AS875" t="s">
        <v>1697</v>
      </c>
      <c r="AT875" s="1">
        <v>44431</v>
      </c>
      <c r="AU875" s="1">
        <v>44432</v>
      </c>
    </row>
    <row r="876" spans="1:47" x14ac:dyDescent="0.3">
      <c r="A876" t="s">
        <v>246</v>
      </c>
      <c r="B876" t="s">
        <v>48</v>
      </c>
      <c r="C876" t="s">
        <v>338</v>
      </c>
      <c r="D876">
        <v>9072</v>
      </c>
      <c r="E876" t="s">
        <v>1685</v>
      </c>
      <c r="F876" t="s">
        <v>352</v>
      </c>
      <c r="G876" t="s">
        <v>912</v>
      </c>
      <c r="H876" t="s">
        <v>1696</v>
      </c>
      <c r="I876" t="s">
        <v>54</v>
      </c>
      <c r="J876" t="s">
        <v>1697</v>
      </c>
      <c r="K876" t="s">
        <v>56</v>
      </c>
      <c r="L876">
        <v>0</v>
      </c>
      <c r="M876" t="s">
        <v>73</v>
      </c>
      <c r="N876">
        <v>0</v>
      </c>
      <c r="O876" t="s">
        <v>58</v>
      </c>
      <c r="P876" t="s">
        <v>59</v>
      </c>
      <c r="Q876" t="s">
        <v>1698</v>
      </c>
      <c r="R876" t="s">
        <v>1697</v>
      </c>
      <c r="S876" s="1">
        <v>44419</v>
      </c>
      <c r="T876" s="1">
        <v>44421</v>
      </c>
      <c r="U876">
        <v>37501</v>
      </c>
      <c r="V876" t="s">
        <v>104</v>
      </c>
      <c r="W876" t="s">
        <v>1699</v>
      </c>
      <c r="X876" s="1">
        <v>44426</v>
      </c>
      <c r="Y876" t="s">
        <v>63</v>
      </c>
      <c r="Z876">
        <v>592.79999999999995</v>
      </c>
      <c r="AA876">
        <v>16</v>
      </c>
      <c r="AB876">
        <v>91.2</v>
      </c>
      <c r="AC876">
        <v>0</v>
      </c>
      <c r="AD876">
        <v>684</v>
      </c>
      <c r="AE876">
        <v>1929.3</v>
      </c>
      <c r="AF876">
        <v>2727</v>
      </c>
      <c r="AG876" t="s">
        <v>1695</v>
      </c>
      <c r="AH876" t="s">
        <v>65</v>
      </c>
      <c r="AI876" t="s">
        <v>65</v>
      </c>
      <c r="AJ876" t="s">
        <v>66</v>
      </c>
      <c r="AK876" t="s">
        <v>66</v>
      </c>
      <c r="AL876" t="s">
        <v>66</v>
      </c>
      <c r="AM876" s="2" t="str">
        <f>HYPERLINK("https://transparencia.cidesi.mx/comprobantes/2021/CQ2100664 /C3hotelFF0000008205.pdf")</f>
        <v>https://transparencia.cidesi.mx/comprobantes/2021/CQ2100664 /C3hotelFF0000008205.pdf</v>
      </c>
      <c r="AN876" t="str">
        <f>HYPERLINK("https://transparencia.cidesi.mx/comprobantes/2021/CQ2100664 /C3hotelFF0000008205.pdf")</f>
        <v>https://transparencia.cidesi.mx/comprobantes/2021/CQ2100664 /C3hotelFF0000008205.pdf</v>
      </c>
      <c r="AO876" t="str">
        <f>HYPERLINK("https://transparencia.cidesi.mx/comprobantes/2021/CQ2100664 /C3hotelFF0000008205.xml")</f>
        <v>https://transparencia.cidesi.mx/comprobantes/2021/CQ2100664 /C3hotelFF0000008205.xml</v>
      </c>
      <c r="AP876" t="s">
        <v>1697</v>
      </c>
      <c r="AQ876" t="s">
        <v>1697</v>
      </c>
      <c r="AR876" t="s">
        <v>1697</v>
      </c>
      <c r="AS876" t="s">
        <v>1697</v>
      </c>
      <c r="AT876" s="1">
        <v>44431</v>
      </c>
      <c r="AU876" s="1">
        <v>44432</v>
      </c>
    </row>
    <row r="877" spans="1:47" x14ac:dyDescent="0.3">
      <c r="A877" t="s">
        <v>246</v>
      </c>
      <c r="B877" t="s">
        <v>48</v>
      </c>
      <c r="C877" t="s">
        <v>338</v>
      </c>
      <c r="D877">
        <v>9072</v>
      </c>
      <c r="E877" t="s">
        <v>1685</v>
      </c>
      <c r="F877" t="s">
        <v>352</v>
      </c>
      <c r="G877" t="s">
        <v>912</v>
      </c>
      <c r="H877" t="s">
        <v>1696</v>
      </c>
      <c r="I877" t="s">
        <v>54</v>
      </c>
      <c r="J877" t="s">
        <v>1697</v>
      </c>
      <c r="K877" t="s">
        <v>56</v>
      </c>
      <c r="L877">
        <v>0</v>
      </c>
      <c r="M877" t="s">
        <v>73</v>
      </c>
      <c r="N877">
        <v>0</v>
      </c>
      <c r="O877" t="s">
        <v>58</v>
      </c>
      <c r="P877" t="s">
        <v>59</v>
      </c>
      <c r="Q877" t="s">
        <v>1698</v>
      </c>
      <c r="R877" t="s">
        <v>1697</v>
      </c>
      <c r="S877" s="1">
        <v>44419</v>
      </c>
      <c r="T877" s="1">
        <v>44421</v>
      </c>
      <c r="U877">
        <v>37501</v>
      </c>
      <c r="V877" t="s">
        <v>61</v>
      </c>
      <c r="W877" t="s">
        <v>1699</v>
      </c>
      <c r="X877" s="1">
        <v>44426</v>
      </c>
      <c r="Y877" t="s">
        <v>63</v>
      </c>
      <c r="Z877">
        <v>127.59</v>
      </c>
      <c r="AA877">
        <v>16</v>
      </c>
      <c r="AB877">
        <v>20.41</v>
      </c>
      <c r="AC877">
        <v>0</v>
      </c>
      <c r="AD877">
        <v>148</v>
      </c>
      <c r="AE877">
        <v>1929.3</v>
      </c>
      <c r="AF877">
        <v>2727</v>
      </c>
      <c r="AG877" t="s">
        <v>1689</v>
      </c>
      <c r="AH877" t="s">
        <v>65</v>
      </c>
      <c r="AI877" t="s">
        <v>65</v>
      </c>
      <c r="AJ877" t="s">
        <v>66</v>
      </c>
      <c r="AK877" t="s">
        <v>66</v>
      </c>
      <c r="AL877" t="s">
        <v>66</v>
      </c>
      <c r="AM877" s="2" t="str">
        <f>HYPERLINK("https://transparencia.cidesi.mx/comprobantes/2021/CQ2100664 /C4burger69715005.pdf")</f>
        <v>https://transparencia.cidesi.mx/comprobantes/2021/CQ2100664 /C4burger69715005.pdf</v>
      </c>
      <c r="AN877" t="str">
        <f>HYPERLINK("https://transparencia.cidesi.mx/comprobantes/2021/CQ2100664 /C4burger69715005.pdf")</f>
        <v>https://transparencia.cidesi.mx/comprobantes/2021/CQ2100664 /C4burger69715005.pdf</v>
      </c>
      <c r="AO877" t="str">
        <f>HYPERLINK("https://transparencia.cidesi.mx/comprobantes/2021/CQ2100664 /C4burger69715005.xml")</f>
        <v>https://transparencia.cidesi.mx/comprobantes/2021/CQ2100664 /C4burger69715005.xml</v>
      </c>
      <c r="AP877" t="s">
        <v>1697</v>
      </c>
      <c r="AQ877" t="s">
        <v>1697</v>
      </c>
      <c r="AR877" t="s">
        <v>1697</v>
      </c>
      <c r="AS877" t="s">
        <v>1697</v>
      </c>
      <c r="AT877" s="1">
        <v>44431</v>
      </c>
      <c r="AU877" s="1">
        <v>44432</v>
      </c>
    </row>
    <row r="878" spans="1:47" x14ac:dyDescent="0.3">
      <c r="A878" t="s">
        <v>246</v>
      </c>
      <c r="B878" t="s">
        <v>48</v>
      </c>
      <c r="C878" t="s">
        <v>338</v>
      </c>
      <c r="D878">
        <v>9072</v>
      </c>
      <c r="E878" t="s">
        <v>1685</v>
      </c>
      <c r="F878" t="s">
        <v>352</v>
      </c>
      <c r="G878" t="s">
        <v>912</v>
      </c>
      <c r="H878" t="s">
        <v>1696</v>
      </c>
      <c r="I878" t="s">
        <v>54</v>
      </c>
      <c r="J878" t="s">
        <v>1697</v>
      </c>
      <c r="K878" t="s">
        <v>56</v>
      </c>
      <c r="L878">
        <v>0</v>
      </c>
      <c r="M878" t="s">
        <v>73</v>
      </c>
      <c r="N878">
        <v>0</v>
      </c>
      <c r="O878" t="s">
        <v>58</v>
      </c>
      <c r="P878" t="s">
        <v>59</v>
      </c>
      <c r="Q878" t="s">
        <v>1698</v>
      </c>
      <c r="R878" t="s">
        <v>1697</v>
      </c>
      <c r="S878" s="1">
        <v>44419</v>
      </c>
      <c r="T878" s="1">
        <v>44421</v>
      </c>
      <c r="U878">
        <v>37501</v>
      </c>
      <c r="V878" t="s">
        <v>61</v>
      </c>
      <c r="W878" t="s">
        <v>1699</v>
      </c>
      <c r="X878" s="1">
        <v>44426</v>
      </c>
      <c r="Y878" t="s">
        <v>63</v>
      </c>
      <c r="Z878">
        <v>246.55</v>
      </c>
      <c r="AA878">
        <v>16</v>
      </c>
      <c r="AB878">
        <v>39.450000000000003</v>
      </c>
      <c r="AC878">
        <v>0</v>
      </c>
      <c r="AD878">
        <v>286</v>
      </c>
      <c r="AE878">
        <v>1929.3</v>
      </c>
      <c r="AF878">
        <v>2727</v>
      </c>
      <c r="AG878" t="s">
        <v>1689</v>
      </c>
      <c r="AH878" t="s">
        <v>65</v>
      </c>
      <c r="AI878" t="s">
        <v>65</v>
      </c>
      <c r="AJ878" t="s">
        <v>66</v>
      </c>
      <c r="AK878" t="s">
        <v>66</v>
      </c>
      <c r="AL878" t="s">
        <v>66</v>
      </c>
      <c r="AM878" s="2" t="str">
        <f>HYPERLINK("https://transparencia.cidesi.mx/comprobantes/2021/CQ2100664 /C5starbucks69715011.pdf")</f>
        <v>https://transparencia.cidesi.mx/comprobantes/2021/CQ2100664 /C5starbucks69715011.pdf</v>
      </c>
      <c r="AN878" t="str">
        <f>HYPERLINK("https://transparencia.cidesi.mx/comprobantes/2021/CQ2100664 /C5starbucks69715011.pdf")</f>
        <v>https://transparencia.cidesi.mx/comprobantes/2021/CQ2100664 /C5starbucks69715011.pdf</v>
      </c>
      <c r="AO878" t="str">
        <f>HYPERLINK("https://transparencia.cidesi.mx/comprobantes/2021/CQ2100664 /C5starbucks69715011.xml")</f>
        <v>https://transparencia.cidesi.mx/comprobantes/2021/CQ2100664 /C5starbucks69715011.xml</v>
      </c>
      <c r="AP878" t="s">
        <v>1697</v>
      </c>
      <c r="AQ878" t="s">
        <v>1697</v>
      </c>
      <c r="AR878" t="s">
        <v>1697</v>
      </c>
      <c r="AS878" t="s">
        <v>1697</v>
      </c>
      <c r="AT878" s="1">
        <v>44431</v>
      </c>
      <c r="AU878" s="1">
        <v>44432</v>
      </c>
    </row>
    <row r="879" spans="1:47" x14ac:dyDescent="0.3">
      <c r="A879" t="s">
        <v>246</v>
      </c>
      <c r="B879" t="s">
        <v>48</v>
      </c>
      <c r="C879" t="s">
        <v>338</v>
      </c>
      <c r="D879">
        <v>9072</v>
      </c>
      <c r="E879" t="s">
        <v>1685</v>
      </c>
      <c r="F879" t="s">
        <v>352</v>
      </c>
      <c r="G879" t="s">
        <v>912</v>
      </c>
      <c r="H879" t="s">
        <v>1696</v>
      </c>
      <c r="I879" t="s">
        <v>54</v>
      </c>
      <c r="J879" t="s">
        <v>1697</v>
      </c>
      <c r="K879" t="s">
        <v>56</v>
      </c>
      <c r="L879">
        <v>0</v>
      </c>
      <c r="M879" t="s">
        <v>73</v>
      </c>
      <c r="N879">
        <v>0</v>
      </c>
      <c r="O879" t="s">
        <v>58</v>
      </c>
      <c r="P879" t="s">
        <v>59</v>
      </c>
      <c r="Q879" t="s">
        <v>1698</v>
      </c>
      <c r="R879" t="s">
        <v>1697</v>
      </c>
      <c r="S879" s="1">
        <v>44419</v>
      </c>
      <c r="T879" s="1">
        <v>44421</v>
      </c>
      <c r="U879">
        <v>37501</v>
      </c>
      <c r="V879" t="s">
        <v>534</v>
      </c>
      <c r="W879" t="s">
        <v>1699</v>
      </c>
      <c r="X879" s="1">
        <v>44426</v>
      </c>
      <c r="Y879" t="s">
        <v>63</v>
      </c>
      <c r="Z879">
        <v>86.15</v>
      </c>
      <c r="AA879">
        <v>16</v>
      </c>
      <c r="AB879">
        <v>13.78</v>
      </c>
      <c r="AC879">
        <v>0</v>
      </c>
      <c r="AD879">
        <v>99.93</v>
      </c>
      <c r="AE879">
        <v>1929.3</v>
      </c>
      <c r="AF879">
        <v>2727</v>
      </c>
      <c r="AG879" t="s">
        <v>1700</v>
      </c>
      <c r="AH879" t="s">
        <v>66</v>
      </c>
      <c r="AI879" t="s">
        <v>65</v>
      </c>
      <c r="AJ879" t="s">
        <v>66</v>
      </c>
      <c r="AK879" t="s">
        <v>66</v>
      </c>
      <c r="AL879" t="s">
        <v>66</v>
      </c>
      <c r="AM879" s="2" t="str">
        <f>HYPERLINK("https://transparencia.cidesi.mx/comprobantes/2021/CQ2100664 /C6UBER99ff0fc9d6-f7f9-57da-9413-1435ec3ad9dd.pdf")</f>
        <v>https://transparencia.cidesi.mx/comprobantes/2021/CQ2100664 /C6UBER99ff0fc9d6-f7f9-57da-9413-1435ec3ad9dd.pdf</v>
      </c>
      <c r="AN879" t="str">
        <f>HYPERLINK("https://transparencia.cidesi.mx/comprobantes/2021/CQ2100664 /C6UBER99ff0fc9d6-f7f9-57da-9413-1435ec3ad9dd.pdf")</f>
        <v>https://transparencia.cidesi.mx/comprobantes/2021/CQ2100664 /C6UBER99ff0fc9d6-f7f9-57da-9413-1435ec3ad9dd.pdf</v>
      </c>
      <c r="AO879" t="str">
        <f>HYPERLINK("https://transparencia.cidesi.mx/comprobantes/2021/CQ2100664 /C6UBER99ff0fc9d6-f7f9-57da-9413-1435ec3ad9dd.xml")</f>
        <v>https://transparencia.cidesi.mx/comprobantes/2021/CQ2100664 /C6UBER99ff0fc9d6-f7f9-57da-9413-1435ec3ad9dd.xml</v>
      </c>
      <c r="AP879" t="s">
        <v>1697</v>
      </c>
      <c r="AQ879" t="s">
        <v>1697</v>
      </c>
      <c r="AR879" t="s">
        <v>1697</v>
      </c>
      <c r="AS879" t="s">
        <v>1697</v>
      </c>
      <c r="AT879" s="1">
        <v>44431</v>
      </c>
      <c r="AU879" s="1">
        <v>44432</v>
      </c>
    </row>
    <row r="880" spans="1:47" x14ac:dyDescent="0.3">
      <c r="A880" t="s">
        <v>246</v>
      </c>
      <c r="B880" t="s">
        <v>48</v>
      </c>
      <c r="C880" t="s">
        <v>338</v>
      </c>
      <c r="D880">
        <v>9072</v>
      </c>
      <c r="E880" t="s">
        <v>1685</v>
      </c>
      <c r="F880" t="s">
        <v>352</v>
      </c>
      <c r="G880" t="s">
        <v>912</v>
      </c>
      <c r="H880" t="s">
        <v>1696</v>
      </c>
      <c r="I880" t="s">
        <v>54</v>
      </c>
      <c r="J880" t="s">
        <v>1697</v>
      </c>
      <c r="K880" t="s">
        <v>56</v>
      </c>
      <c r="L880">
        <v>0</v>
      </c>
      <c r="M880" t="s">
        <v>73</v>
      </c>
      <c r="N880">
        <v>0</v>
      </c>
      <c r="O880" t="s">
        <v>58</v>
      </c>
      <c r="P880" t="s">
        <v>59</v>
      </c>
      <c r="Q880" t="s">
        <v>1698</v>
      </c>
      <c r="R880" t="s">
        <v>1697</v>
      </c>
      <c r="S880" s="1">
        <v>44419</v>
      </c>
      <c r="T880" s="1">
        <v>44421</v>
      </c>
      <c r="U880">
        <v>37501</v>
      </c>
      <c r="V880" t="s">
        <v>534</v>
      </c>
      <c r="W880" t="s">
        <v>1699</v>
      </c>
      <c r="X880" s="1">
        <v>44426</v>
      </c>
      <c r="Y880" t="s">
        <v>63</v>
      </c>
      <c r="Z880">
        <v>94.81</v>
      </c>
      <c r="AA880">
        <v>16</v>
      </c>
      <c r="AB880">
        <v>15.17</v>
      </c>
      <c r="AC880">
        <v>0</v>
      </c>
      <c r="AD880">
        <v>109.98</v>
      </c>
      <c r="AE880">
        <v>1929.3</v>
      </c>
      <c r="AF880">
        <v>2727</v>
      </c>
      <c r="AG880" t="s">
        <v>1700</v>
      </c>
      <c r="AH880" t="s">
        <v>66</v>
      </c>
      <c r="AI880" t="s">
        <v>65</v>
      </c>
      <c r="AJ880" t="s">
        <v>66</v>
      </c>
      <c r="AK880" t="s">
        <v>66</v>
      </c>
      <c r="AL880" t="s">
        <v>66</v>
      </c>
      <c r="AM880" s="2" t="str">
        <f>HYPERLINK("https://transparencia.cidesi.mx/comprobantes/2021/CQ2100664 /C7uber109c3652c47-c353-5f05-801f-537ada5390a0.pdf")</f>
        <v>https://transparencia.cidesi.mx/comprobantes/2021/CQ2100664 /C7uber109c3652c47-c353-5f05-801f-537ada5390a0.pdf</v>
      </c>
      <c r="AN880" t="str">
        <f>HYPERLINK("https://transparencia.cidesi.mx/comprobantes/2021/CQ2100664 /C7uber109c3652c47-c353-5f05-801f-537ada5390a0.pdf")</f>
        <v>https://transparencia.cidesi.mx/comprobantes/2021/CQ2100664 /C7uber109c3652c47-c353-5f05-801f-537ada5390a0.pdf</v>
      </c>
      <c r="AO880" t="str">
        <f>HYPERLINK("https://transparencia.cidesi.mx/comprobantes/2021/CQ2100664 /C7uber109c3652c47-c353-5f05-801f-537ada5390a0.xml")</f>
        <v>https://transparencia.cidesi.mx/comprobantes/2021/CQ2100664 /C7uber109c3652c47-c353-5f05-801f-537ada5390a0.xml</v>
      </c>
      <c r="AP880" t="s">
        <v>1697</v>
      </c>
      <c r="AQ880" t="s">
        <v>1697</v>
      </c>
      <c r="AR880" t="s">
        <v>1697</v>
      </c>
      <c r="AS880" t="s">
        <v>1697</v>
      </c>
      <c r="AT880" s="1">
        <v>44431</v>
      </c>
      <c r="AU880" s="1">
        <v>44432</v>
      </c>
    </row>
    <row r="881" spans="1:47" x14ac:dyDescent="0.3">
      <c r="A881" t="s">
        <v>246</v>
      </c>
      <c r="B881" t="s">
        <v>48</v>
      </c>
      <c r="C881" t="s">
        <v>338</v>
      </c>
      <c r="D881">
        <v>9072</v>
      </c>
      <c r="E881" t="s">
        <v>1685</v>
      </c>
      <c r="F881" t="s">
        <v>352</v>
      </c>
      <c r="G881" t="s">
        <v>912</v>
      </c>
      <c r="H881" t="s">
        <v>1701</v>
      </c>
      <c r="I881" t="s">
        <v>54</v>
      </c>
      <c r="J881" t="s">
        <v>1702</v>
      </c>
      <c r="K881" t="s">
        <v>56</v>
      </c>
      <c r="L881">
        <v>0</v>
      </c>
      <c r="M881" t="s">
        <v>73</v>
      </c>
      <c r="N881">
        <v>0</v>
      </c>
      <c r="O881" t="s">
        <v>58</v>
      </c>
      <c r="P881" t="s">
        <v>59</v>
      </c>
      <c r="Q881" t="s">
        <v>87</v>
      </c>
      <c r="R881" t="s">
        <v>1702</v>
      </c>
      <c r="S881" s="1">
        <v>44431</v>
      </c>
      <c r="T881" s="1">
        <v>44431</v>
      </c>
      <c r="U881">
        <v>37501</v>
      </c>
      <c r="V881" t="s">
        <v>534</v>
      </c>
      <c r="W881" t="s">
        <v>1703</v>
      </c>
      <c r="X881" s="1">
        <v>44434</v>
      </c>
      <c r="Y881" t="s">
        <v>63</v>
      </c>
      <c r="Z881">
        <v>86.13</v>
      </c>
      <c r="AA881">
        <v>16</v>
      </c>
      <c r="AB881">
        <v>13.78</v>
      </c>
      <c r="AC881">
        <v>0</v>
      </c>
      <c r="AD881">
        <v>99.91</v>
      </c>
      <c r="AE881">
        <v>541.71</v>
      </c>
      <c r="AF881">
        <v>545</v>
      </c>
      <c r="AG881" t="s">
        <v>1700</v>
      </c>
      <c r="AH881" t="s">
        <v>66</v>
      </c>
      <c r="AI881" t="s">
        <v>65</v>
      </c>
      <c r="AJ881" t="s">
        <v>66</v>
      </c>
      <c r="AK881" t="s">
        <v>66</v>
      </c>
      <c r="AL881" t="s">
        <v>66</v>
      </c>
      <c r="AM881" s="2" t="str">
        <f>HYPERLINK("https://transparencia.cidesi.mx/comprobantes/2021/CQ2100693 /C1UBER76bdf9a5-af3b-5bd0-8609-30938566fd39 (2).pdf")</f>
        <v>https://transparencia.cidesi.mx/comprobantes/2021/CQ2100693 /C1UBER76bdf9a5-af3b-5bd0-8609-30938566fd39 (2).pdf</v>
      </c>
      <c r="AN881" t="str">
        <f>HYPERLINK("https://transparencia.cidesi.mx/comprobantes/2021/CQ2100693 /C1UBER76bdf9a5-af3b-5bd0-8609-30938566fd39 (2).pdf")</f>
        <v>https://transparencia.cidesi.mx/comprobantes/2021/CQ2100693 /C1UBER76bdf9a5-af3b-5bd0-8609-30938566fd39 (2).pdf</v>
      </c>
      <c r="AO881" t="str">
        <f>HYPERLINK("https://transparencia.cidesi.mx/comprobantes/2021/CQ2100693 /C1UBER76bdf9a5-af3b-5bd0-8609-30938566fd39 (1).xml")</f>
        <v>https://transparencia.cidesi.mx/comprobantes/2021/CQ2100693 /C1UBER76bdf9a5-af3b-5bd0-8609-30938566fd39 (1).xml</v>
      </c>
      <c r="AP881" t="s">
        <v>1702</v>
      </c>
      <c r="AQ881" t="s">
        <v>1702</v>
      </c>
      <c r="AR881" t="s">
        <v>1702</v>
      </c>
      <c r="AS881" t="s">
        <v>1702</v>
      </c>
      <c r="AT881" s="1">
        <v>44434</v>
      </c>
      <c r="AU881" s="1">
        <v>44438</v>
      </c>
    </row>
    <row r="882" spans="1:47" x14ac:dyDescent="0.3">
      <c r="A882" t="s">
        <v>246</v>
      </c>
      <c r="B882" t="s">
        <v>48</v>
      </c>
      <c r="C882" t="s">
        <v>338</v>
      </c>
      <c r="D882">
        <v>9072</v>
      </c>
      <c r="E882" t="s">
        <v>1685</v>
      </c>
      <c r="F882" t="s">
        <v>352</v>
      </c>
      <c r="G882" t="s">
        <v>912</v>
      </c>
      <c r="H882" t="s">
        <v>1701</v>
      </c>
      <c r="I882" t="s">
        <v>54</v>
      </c>
      <c r="J882" t="s">
        <v>1702</v>
      </c>
      <c r="K882" t="s">
        <v>56</v>
      </c>
      <c r="L882">
        <v>0</v>
      </c>
      <c r="M882" t="s">
        <v>73</v>
      </c>
      <c r="N882">
        <v>0</v>
      </c>
      <c r="O882" t="s">
        <v>58</v>
      </c>
      <c r="P882" t="s">
        <v>59</v>
      </c>
      <c r="Q882" t="s">
        <v>87</v>
      </c>
      <c r="R882" t="s">
        <v>1702</v>
      </c>
      <c r="S882" s="1">
        <v>44431</v>
      </c>
      <c r="T882" s="1">
        <v>44431</v>
      </c>
      <c r="U882">
        <v>37501</v>
      </c>
      <c r="V882" t="s">
        <v>61</v>
      </c>
      <c r="W882" t="s">
        <v>1703</v>
      </c>
      <c r="X882" s="1">
        <v>44434</v>
      </c>
      <c r="Y882" t="s">
        <v>63</v>
      </c>
      <c r="Z882">
        <v>162.06</v>
      </c>
      <c r="AA882">
        <v>16</v>
      </c>
      <c r="AB882">
        <v>25.94</v>
      </c>
      <c r="AC882">
        <v>18.8</v>
      </c>
      <c r="AD882">
        <v>206.8</v>
      </c>
      <c r="AE882">
        <v>541.71</v>
      </c>
      <c r="AF882">
        <v>545</v>
      </c>
      <c r="AG882" t="s">
        <v>1689</v>
      </c>
      <c r="AH882" t="s">
        <v>65</v>
      </c>
      <c r="AI882" t="s">
        <v>65</v>
      </c>
      <c r="AJ882" t="s">
        <v>66</v>
      </c>
      <c r="AK882" t="s">
        <v>66</v>
      </c>
      <c r="AL882" t="s">
        <v>66</v>
      </c>
      <c r="AM882" s="2" t="str">
        <f>HYPERLINK("https://transparencia.cidesi.mx/comprobantes/2021/CQ2100693 /C2BISQUETSMSG_004677288_BO_40986.pdf")</f>
        <v>https://transparencia.cidesi.mx/comprobantes/2021/CQ2100693 /C2BISQUETSMSG_004677288_BO_40986.pdf</v>
      </c>
      <c r="AN882" t="str">
        <f>HYPERLINK("https://transparencia.cidesi.mx/comprobantes/2021/CQ2100693 /C2BISQUETSMSG_004677288_BO_40986.pdf")</f>
        <v>https://transparencia.cidesi.mx/comprobantes/2021/CQ2100693 /C2BISQUETSMSG_004677288_BO_40986.pdf</v>
      </c>
      <c r="AO882" t="str">
        <f>HYPERLINK("https://transparencia.cidesi.mx/comprobantes/2021/CQ2100693 /C2BISQUETSMSG_004677288_BO_40986.xml")</f>
        <v>https://transparencia.cidesi.mx/comprobantes/2021/CQ2100693 /C2BISQUETSMSG_004677288_BO_40986.xml</v>
      </c>
      <c r="AP882" t="s">
        <v>1702</v>
      </c>
      <c r="AQ882" t="s">
        <v>1702</v>
      </c>
      <c r="AR882" t="s">
        <v>1702</v>
      </c>
      <c r="AS882" t="s">
        <v>1702</v>
      </c>
      <c r="AT882" s="1">
        <v>44434</v>
      </c>
      <c r="AU882" s="1">
        <v>44438</v>
      </c>
    </row>
    <row r="883" spans="1:47" x14ac:dyDescent="0.3">
      <c r="A883" t="s">
        <v>246</v>
      </c>
      <c r="B883" t="s">
        <v>48</v>
      </c>
      <c r="C883" t="s">
        <v>338</v>
      </c>
      <c r="D883">
        <v>9072</v>
      </c>
      <c r="E883" t="s">
        <v>1685</v>
      </c>
      <c r="F883" t="s">
        <v>352</v>
      </c>
      <c r="G883" t="s">
        <v>912</v>
      </c>
      <c r="H883" t="s">
        <v>1701</v>
      </c>
      <c r="I883" t="s">
        <v>54</v>
      </c>
      <c r="J883" t="s">
        <v>1702</v>
      </c>
      <c r="K883" t="s">
        <v>56</v>
      </c>
      <c r="L883">
        <v>0</v>
      </c>
      <c r="M883" t="s">
        <v>73</v>
      </c>
      <c r="N883">
        <v>0</v>
      </c>
      <c r="O883" t="s">
        <v>58</v>
      </c>
      <c r="P883" t="s">
        <v>59</v>
      </c>
      <c r="Q883" t="s">
        <v>87</v>
      </c>
      <c r="R883" t="s">
        <v>1702</v>
      </c>
      <c r="S883" s="1">
        <v>44431</v>
      </c>
      <c r="T883" s="1">
        <v>44431</v>
      </c>
      <c r="U883">
        <v>37501</v>
      </c>
      <c r="V883" t="s">
        <v>61</v>
      </c>
      <c r="W883" t="s">
        <v>1703</v>
      </c>
      <c r="X883" s="1">
        <v>44434</v>
      </c>
      <c r="Y883" t="s">
        <v>63</v>
      </c>
      <c r="Z883">
        <v>202.59</v>
      </c>
      <c r="AA883">
        <v>16</v>
      </c>
      <c r="AB883">
        <v>32.409999999999997</v>
      </c>
      <c r="AC883">
        <v>0</v>
      </c>
      <c r="AD883">
        <v>235</v>
      </c>
      <c r="AE883">
        <v>541.71</v>
      </c>
      <c r="AF883">
        <v>545</v>
      </c>
      <c r="AG883" t="s">
        <v>1689</v>
      </c>
      <c r="AH883" t="s">
        <v>65</v>
      </c>
      <c r="AI883" t="s">
        <v>65</v>
      </c>
      <c r="AJ883" t="s">
        <v>66</v>
      </c>
      <c r="AK883" t="s">
        <v>66</v>
      </c>
      <c r="AL883" t="s">
        <v>66</v>
      </c>
      <c r="AM883" s="2" t="str">
        <f>HYPERLINK("https://transparencia.cidesi.mx/comprobantes/2021/CQ2100693 /C3DEL BOSQUERORR791119M94_Factura__37889_C4C1CE3D-36D3-414C-A20F-6D8A2E5C2C48.pdf")</f>
        <v>https://transparencia.cidesi.mx/comprobantes/2021/CQ2100693 /C3DEL BOSQUERORR791119M94_Factura__37889_C4C1CE3D-36D3-414C-A20F-6D8A2E5C2C48.pdf</v>
      </c>
      <c r="AN883" t="str">
        <f>HYPERLINK("https://transparencia.cidesi.mx/comprobantes/2021/CQ2100693 /C3DEL BOSQUERORR791119M94_Factura__37889_C4C1CE3D-36D3-414C-A20F-6D8A2E5C2C48.pdf")</f>
        <v>https://transparencia.cidesi.mx/comprobantes/2021/CQ2100693 /C3DEL BOSQUERORR791119M94_Factura__37889_C4C1CE3D-36D3-414C-A20F-6D8A2E5C2C48.pdf</v>
      </c>
      <c r="AO883" t="str">
        <f>HYPERLINK("https://transparencia.cidesi.mx/comprobantes/2021/CQ2100693 /C3DEL BOSQUERORR791119M94_Factura__37889_C4C1CE3D-36D3-414C-A20F-6D8A2E5C2C48.xml")</f>
        <v>https://transparencia.cidesi.mx/comprobantes/2021/CQ2100693 /C3DEL BOSQUERORR791119M94_Factura__37889_C4C1CE3D-36D3-414C-A20F-6D8A2E5C2C48.xml</v>
      </c>
      <c r="AP883" t="s">
        <v>1702</v>
      </c>
      <c r="AQ883" t="s">
        <v>1702</v>
      </c>
      <c r="AR883" t="s">
        <v>1702</v>
      </c>
      <c r="AS883" t="s">
        <v>1702</v>
      </c>
      <c r="AT883" s="1">
        <v>44434</v>
      </c>
      <c r="AU883" s="1">
        <v>44438</v>
      </c>
    </row>
    <row r="884" spans="1:47" x14ac:dyDescent="0.3">
      <c r="A884" t="s">
        <v>246</v>
      </c>
      <c r="B884" t="s">
        <v>48</v>
      </c>
      <c r="C884" t="s">
        <v>338</v>
      </c>
      <c r="D884">
        <v>9072</v>
      </c>
      <c r="E884" t="s">
        <v>1685</v>
      </c>
      <c r="F884" t="s">
        <v>352</v>
      </c>
      <c r="G884" t="s">
        <v>912</v>
      </c>
      <c r="H884" t="s">
        <v>1704</v>
      </c>
      <c r="I884" t="s">
        <v>54</v>
      </c>
      <c r="J884" t="s">
        <v>1705</v>
      </c>
      <c r="K884" t="s">
        <v>56</v>
      </c>
      <c r="L884">
        <v>0</v>
      </c>
      <c r="M884" t="s">
        <v>73</v>
      </c>
      <c r="N884">
        <v>0</v>
      </c>
      <c r="O884" t="s">
        <v>58</v>
      </c>
      <c r="P884" t="s">
        <v>59</v>
      </c>
      <c r="Q884" t="s">
        <v>216</v>
      </c>
      <c r="R884" t="s">
        <v>1705</v>
      </c>
      <c r="S884" s="1">
        <v>44435</v>
      </c>
      <c r="T884" s="1">
        <v>44435</v>
      </c>
      <c r="U884">
        <v>37501</v>
      </c>
      <c r="V884" t="s">
        <v>61</v>
      </c>
      <c r="W884" t="s">
        <v>1706</v>
      </c>
      <c r="X884" s="1">
        <v>44438</v>
      </c>
      <c r="Y884" t="s">
        <v>63</v>
      </c>
      <c r="Z884">
        <v>312.5</v>
      </c>
      <c r="AA884">
        <v>16</v>
      </c>
      <c r="AB884">
        <v>50</v>
      </c>
      <c r="AC884">
        <v>36.25</v>
      </c>
      <c r="AD884">
        <v>398.75</v>
      </c>
      <c r="AE884">
        <v>529.75</v>
      </c>
      <c r="AF884">
        <v>545</v>
      </c>
      <c r="AG884" t="s">
        <v>1689</v>
      </c>
      <c r="AH884" t="s">
        <v>65</v>
      </c>
      <c r="AI884" t="s">
        <v>65</v>
      </c>
      <c r="AJ884" t="s">
        <v>66</v>
      </c>
      <c r="AK884" t="s">
        <v>66</v>
      </c>
      <c r="AL884" t="s">
        <v>66</v>
      </c>
      <c r="AM884" s="2" t="str">
        <f>HYPERLINK("https://transparencia.cidesi.mx/comprobantes/2021/CQ2100709 /C1mariscosfc55970F.pdf")</f>
        <v>https://transparencia.cidesi.mx/comprobantes/2021/CQ2100709 /C1mariscosfc55970F.pdf</v>
      </c>
      <c r="AN884" t="str">
        <f>HYPERLINK("https://transparencia.cidesi.mx/comprobantes/2021/CQ2100709 /C1mariscosfc55970F.pdf")</f>
        <v>https://transparencia.cidesi.mx/comprobantes/2021/CQ2100709 /C1mariscosfc55970F.pdf</v>
      </c>
      <c r="AO884" t="str">
        <f>HYPERLINK("https://transparencia.cidesi.mx/comprobantes/2021/CQ2100709 /C1mariscosfc55970F.xml")</f>
        <v>https://transparencia.cidesi.mx/comprobantes/2021/CQ2100709 /C1mariscosfc55970F.xml</v>
      </c>
      <c r="AP884" t="s">
        <v>1705</v>
      </c>
      <c r="AQ884" t="s">
        <v>1705</v>
      </c>
      <c r="AR884" t="s">
        <v>1705</v>
      </c>
      <c r="AS884" t="s">
        <v>1705</v>
      </c>
      <c r="AT884" s="1">
        <v>44439</v>
      </c>
      <c r="AU884" s="1">
        <v>44440</v>
      </c>
    </row>
    <row r="885" spans="1:47" x14ac:dyDescent="0.3">
      <c r="A885" t="s">
        <v>246</v>
      </c>
      <c r="B885" t="s">
        <v>48</v>
      </c>
      <c r="C885" t="s">
        <v>338</v>
      </c>
      <c r="D885">
        <v>9072</v>
      </c>
      <c r="E885" t="s">
        <v>1685</v>
      </c>
      <c r="F885" t="s">
        <v>352</v>
      </c>
      <c r="G885" t="s">
        <v>912</v>
      </c>
      <c r="H885" t="s">
        <v>1704</v>
      </c>
      <c r="I885" t="s">
        <v>54</v>
      </c>
      <c r="J885" t="s">
        <v>1705</v>
      </c>
      <c r="K885" t="s">
        <v>56</v>
      </c>
      <c r="L885">
        <v>0</v>
      </c>
      <c r="M885" t="s">
        <v>73</v>
      </c>
      <c r="N885">
        <v>0</v>
      </c>
      <c r="O885" t="s">
        <v>58</v>
      </c>
      <c r="P885" t="s">
        <v>59</v>
      </c>
      <c r="Q885" t="s">
        <v>216</v>
      </c>
      <c r="R885" t="s">
        <v>1705</v>
      </c>
      <c r="S885" s="1">
        <v>44435</v>
      </c>
      <c r="T885" s="1">
        <v>44435</v>
      </c>
      <c r="U885">
        <v>37501</v>
      </c>
      <c r="V885" t="s">
        <v>61</v>
      </c>
      <c r="W885" t="s">
        <v>1706</v>
      </c>
      <c r="X885" s="1">
        <v>44438</v>
      </c>
      <c r="Y885" t="s">
        <v>63</v>
      </c>
      <c r="Z885">
        <v>128.44999999999999</v>
      </c>
      <c r="AA885">
        <v>16</v>
      </c>
      <c r="AB885">
        <v>2.5499999999999998</v>
      </c>
      <c r="AC885">
        <v>0</v>
      </c>
      <c r="AD885">
        <v>131</v>
      </c>
      <c r="AE885">
        <v>529.75</v>
      </c>
      <c r="AF885">
        <v>545</v>
      </c>
      <c r="AG885" t="s">
        <v>1689</v>
      </c>
      <c r="AH885" t="s">
        <v>65</v>
      </c>
      <c r="AI885" t="s">
        <v>65</v>
      </c>
      <c r="AJ885" t="s">
        <v>66</v>
      </c>
      <c r="AK885" t="s">
        <v>66</v>
      </c>
      <c r="AL885" t="s">
        <v>66</v>
      </c>
      <c r="AM885" s="2" t="str">
        <f>HYPERLINK("https://transparencia.cidesi.mx/comprobantes/2021/CQ2100709 /C2oxxoFACTURA_1630345936056_342875083.pdf")</f>
        <v>https://transparencia.cidesi.mx/comprobantes/2021/CQ2100709 /C2oxxoFACTURA_1630345936056_342875083.pdf</v>
      </c>
      <c r="AN885" t="str">
        <f>HYPERLINK("https://transparencia.cidesi.mx/comprobantes/2021/CQ2100709 /C2oxxoFACTURA_1630345936056_342875083.pdf")</f>
        <v>https://transparencia.cidesi.mx/comprobantes/2021/CQ2100709 /C2oxxoFACTURA_1630345936056_342875083.pdf</v>
      </c>
      <c r="AO885" t="str">
        <f>HYPERLINK("https://transparencia.cidesi.mx/comprobantes/2021/CQ2100709 /C2oxxoFACTURA_1630345936056_342875083.xml")</f>
        <v>https://transparencia.cidesi.mx/comprobantes/2021/CQ2100709 /C2oxxoFACTURA_1630345936056_342875083.xml</v>
      </c>
      <c r="AP885" t="s">
        <v>1705</v>
      </c>
      <c r="AQ885" t="s">
        <v>1705</v>
      </c>
      <c r="AR885" t="s">
        <v>1705</v>
      </c>
      <c r="AS885" t="s">
        <v>1705</v>
      </c>
      <c r="AT885" s="1">
        <v>44439</v>
      </c>
      <c r="AU885" s="1">
        <v>44440</v>
      </c>
    </row>
    <row r="886" spans="1:47" x14ac:dyDescent="0.3">
      <c r="A886" t="s">
        <v>246</v>
      </c>
      <c r="B886" t="s">
        <v>48</v>
      </c>
      <c r="C886" t="s">
        <v>338</v>
      </c>
      <c r="D886">
        <v>9072</v>
      </c>
      <c r="E886" t="s">
        <v>1685</v>
      </c>
      <c r="F886" t="s">
        <v>352</v>
      </c>
      <c r="G886" t="s">
        <v>912</v>
      </c>
      <c r="H886" t="s">
        <v>1707</v>
      </c>
      <c r="I886" t="s">
        <v>54</v>
      </c>
      <c r="J886" t="s">
        <v>1708</v>
      </c>
      <c r="K886" t="s">
        <v>56</v>
      </c>
      <c r="L886">
        <v>0</v>
      </c>
      <c r="M886" t="s">
        <v>73</v>
      </c>
      <c r="N886">
        <v>0</v>
      </c>
      <c r="O886" t="s">
        <v>58</v>
      </c>
      <c r="P886" t="s">
        <v>59</v>
      </c>
      <c r="Q886" t="s">
        <v>87</v>
      </c>
      <c r="R886" t="s">
        <v>1708</v>
      </c>
      <c r="S886" s="1">
        <v>44440</v>
      </c>
      <c r="T886" s="1">
        <v>44445</v>
      </c>
      <c r="U886">
        <v>37501</v>
      </c>
      <c r="V886" t="s">
        <v>61</v>
      </c>
      <c r="W886" t="s">
        <v>1709</v>
      </c>
      <c r="X886" s="1">
        <v>44473</v>
      </c>
      <c r="Y886" t="s">
        <v>100</v>
      </c>
      <c r="Z886">
        <v>185.17</v>
      </c>
      <c r="AA886">
        <v>16</v>
      </c>
      <c r="AB886">
        <v>6.83</v>
      </c>
      <c r="AC886">
        <v>0</v>
      </c>
      <c r="AD886">
        <v>192</v>
      </c>
      <c r="AE886">
        <v>2614.13</v>
      </c>
      <c r="AF886">
        <v>6000</v>
      </c>
      <c r="AG886" t="s">
        <v>1689</v>
      </c>
      <c r="AH886" t="s">
        <v>65</v>
      </c>
      <c r="AI886" t="s">
        <v>65</v>
      </c>
      <c r="AJ886" t="s">
        <v>66</v>
      </c>
      <c r="AK886" t="s">
        <v>66</v>
      </c>
      <c r="AL886" t="s">
        <v>66</v>
      </c>
      <c r="AM886" s="2" t="str">
        <f>HYPERLINK("https://transparencia.cidesi.mx/comprobantes/2021/CQ2100935 /C2oxxo192FACTURA_1631201866314_344249703.pdf")</f>
        <v>https://transparencia.cidesi.mx/comprobantes/2021/CQ2100935 /C2oxxo192FACTURA_1631201866314_344249703.pdf</v>
      </c>
      <c r="AN886" t="str">
        <f>HYPERLINK("https://transparencia.cidesi.mx/comprobantes/2021/CQ2100935 /C2oxxo192FACTURA_1631201866314_344249703.pdf")</f>
        <v>https://transparencia.cidesi.mx/comprobantes/2021/CQ2100935 /C2oxxo192FACTURA_1631201866314_344249703.pdf</v>
      </c>
      <c r="AO886" t="str">
        <f>HYPERLINK("https://transparencia.cidesi.mx/comprobantes/2021/CQ2100935 /C2oxxo192FACTURA_1631201866314_344249703.xml")</f>
        <v>https://transparencia.cidesi.mx/comprobantes/2021/CQ2100935 /C2oxxo192FACTURA_1631201866314_344249703.xml</v>
      </c>
      <c r="AP886" t="s">
        <v>1710</v>
      </c>
      <c r="AQ886" t="s">
        <v>1710</v>
      </c>
      <c r="AR886" t="s">
        <v>1710</v>
      </c>
      <c r="AS886" t="s">
        <v>1710</v>
      </c>
      <c r="AT886" s="1">
        <v>44473</v>
      </c>
      <c r="AU886" t="s">
        <v>73</v>
      </c>
    </row>
    <row r="887" spans="1:47" x14ac:dyDescent="0.3">
      <c r="A887" t="s">
        <v>246</v>
      </c>
      <c r="B887" t="s">
        <v>48</v>
      </c>
      <c r="C887" t="s">
        <v>338</v>
      </c>
      <c r="D887">
        <v>9072</v>
      </c>
      <c r="E887" t="s">
        <v>1685</v>
      </c>
      <c r="F887" t="s">
        <v>352</v>
      </c>
      <c r="G887" t="s">
        <v>912</v>
      </c>
      <c r="H887" t="s">
        <v>1707</v>
      </c>
      <c r="I887" t="s">
        <v>54</v>
      </c>
      <c r="J887" t="s">
        <v>1708</v>
      </c>
      <c r="K887" t="s">
        <v>56</v>
      </c>
      <c r="L887">
        <v>0</v>
      </c>
      <c r="M887" t="s">
        <v>73</v>
      </c>
      <c r="N887">
        <v>0</v>
      </c>
      <c r="O887" t="s">
        <v>58</v>
      </c>
      <c r="P887" t="s">
        <v>59</v>
      </c>
      <c r="Q887" t="s">
        <v>87</v>
      </c>
      <c r="R887" t="s">
        <v>1708</v>
      </c>
      <c r="S887" s="1">
        <v>44440</v>
      </c>
      <c r="T887" s="1">
        <v>44445</v>
      </c>
      <c r="U887">
        <v>37501</v>
      </c>
      <c r="V887" t="s">
        <v>61</v>
      </c>
      <c r="W887" t="s">
        <v>1709</v>
      </c>
      <c r="X887" s="1">
        <v>44473</v>
      </c>
      <c r="Y887" t="s">
        <v>100</v>
      </c>
      <c r="Z887">
        <v>280.17</v>
      </c>
      <c r="AA887">
        <v>16</v>
      </c>
      <c r="AB887">
        <v>44.83</v>
      </c>
      <c r="AC887">
        <v>0</v>
      </c>
      <c r="AD887">
        <v>325</v>
      </c>
      <c r="AE887">
        <v>2614.13</v>
      </c>
      <c r="AF887">
        <v>6000</v>
      </c>
      <c r="AG887" t="s">
        <v>1689</v>
      </c>
      <c r="AH887" t="s">
        <v>65</v>
      </c>
      <c r="AI887" t="s">
        <v>65</v>
      </c>
      <c r="AJ887" t="s">
        <v>66</v>
      </c>
      <c r="AK887" t="s">
        <v>66</v>
      </c>
      <c r="AL887" t="s">
        <v>66</v>
      </c>
      <c r="AM887" s="2" t="str">
        <f>HYPERLINK("https://transparencia.cidesi.mx/comprobantes/2021/CQ2100935 /C3delbosqueRORR791119M94_Factura__38122_0CE83627-93FD-4055-8B8D-5022B628D78F.pdf")</f>
        <v>https://transparencia.cidesi.mx/comprobantes/2021/CQ2100935 /C3delbosqueRORR791119M94_Factura__38122_0CE83627-93FD-4055-8B8D-5022B628D78F.pdf</v>
      </c>
      <c r="AN887" t="str">
        <f>HYPERLINK("https://transparencia.cidesi.mx/comprobantes/2021/CQ2100935 /C3delbosqueRORR791119M94_Factura__38122_0CE83627-93FD-4055-8B8D-5022B628D78F.pdf")</f>
        <v>https://transparencia.cidesi.mx/comprobantes/2021/CQ2100935 /C3delbosqueRORR791119M94_Factura__38122_0CE83627-93FD-4055-8B8D-5022B628D78F.pdf</v>
      </c>
      <c r="AO887" t="str">
        <f>HYPERLINK("https://transparencia.cidesi.mx/comprobantes/2021/CQ2100935 /C3delbosqueRORR791119M94_Factura__38122_0CE83627-93FD-4055-8B8D-5022B628D78F.xml")</f>
        <v>https://transparencia.cidesi.mx/comprobantes/2021/CQ2100935 /C3delbosqueRORR791119M94_Factura__38122_0CE83627-93FD-4055-8B8D-5022B628D78F.xml</v>
      </c>
      <c r="AP887" t="s">
        <v>1710</v>
      </c>
      <c r="AQ887" t="s">
        <v>1710</v>
      </c>
      <c r="AR887" t="s">
        <v>1710</v>
      </c>
      <c r="AS887" t="s">
        <v>1710</v>
      </c>
      <c r="AT887" s="1">
        <v>44473</v>
      </c>
      <c r="AU887" t="s">
        <v>73</v>
      </c>
    </row>
    <row r="888" spans="1:47" x14ac:dyDescent="0.3">
      <c r="A888" t="s">
        <v>246</v>
      </c>
      <c r="B888" t="s">
        <v>48</v>
      </c>
      <c r="C888" t="s">
        <v>338</v>
      </c>
      <c r="D888">
        <v>9072</v>
      </c>
      <c r="E888" t="s">
        <v>1685</v>
      </c>
      <c r="F888" t="s">
        <v>352</v>
      </c>
      <c r="G888" t="s">
        <v>912</v>
      </c>
      <c r="H888" t="s">
        <v>1707</v>
      </c>
      <c r="I888" t="s">
        <v>54</v>
      </c>
      <c r="J888" t="s">
        <v>1708</v>
      </c>
      <c r="K888" t="s">
        <v>56</v>
      </c>
      <c r="L888">
        <v>0</v>
      </c>
      <c r="M888" t="s">
        <v>73</v>
      </c>
      <c r="N888">
        <v>0</v>
      </c>
      <c r="O888" t="s">
        <v>58</v>
      </c>
      <c r="P888" t="s">
        <v>59</v>
      </c>
      <c r="Q888" t="s">
        <v>87</v>
      </c>
      <c r="R888" t="s">
        <v>1708</v>
      </c>
      <c r="S888" s="1">
        <v>44440</v>
      </c>
      <c r="T888" s="1">
        <v>44445</v>
      </c>
      <c r="U888">
        <v>37501</v>
      </c>
      <c r="V888" t="s">
        <v>61</v>
      </c>
      <c r="W888" t="s">
        <v>1709</v>
      </c>
      <c r="X888" s="1">
        <v>44473</v>
      </c>
      <c r="Y888" t="s">
        <v>100</v>
      </c>
      <c r="Z888">
        <v>212.93</v>
      </c>
      <c r="AA888">
        <v>16</v>
      </c>
      <c r="AB888">
        <v>34.07</v>
      </c>
      <c r="AC888">
        <v>24.7</v>
      </c>
      <c r="AD888">
        <v>271.7</v>
      </c>
      <c r="AE888">
        <v>2614.13</v>
      </c>
      <c r="AF888">
        <v>6000</v>
      </c>
      <c r="AG888" t="s">
        <v>1689</v>
      </c>
      <c r="AH888" t="s">
        <v>65</v>
      </c>
      <c r="AI888" t="s">
        <v>65</v>
      </c>
      <c r="AJ888" t="s">
        <v>66</v>
      </c>
      <c r="AK888" t="s">
        <v>66</v>
      </c>
      <c r="AL888" t="s">
        <v>66</v>
      </c>
      <c r="AM888" s="2" t="str">
        <f>HYPERLINK("https://transparencia.cidesi.mx/comprobantes/2021/CQ2100935 /C4toks1TIWEBDF000006558485.pdf")</f>
        <v>https://transparencia.cidesi.mx/comprobantes/2021/CQ2100935 /C4toks1TIWEBDF000006558485.pdf</v>
      </c>
      <c r="AN888" t="str">
        <f>HYPERLINK("https://transparencia.cidesi.mx/comprobantes/2021/CQ2100935 /C4toks1TIWEBDF000006558485.pdf")</f>
        <v>https://transparencia.cidesi.mx/comprobantes/2021/CQ2100935 /C4toks1TIWEBDF000006558485.pdf</v>
      </c>
      <c r="AO888" t="str">
        <f>HYPERLINK("https://transparencia.cidesi.mx/comprobantes/2021/CQ2100935 /C4toks1TIWEBDF000006558485.xml")</f>
        <v>https://transparencia.cidesi.mx/comprobantes/2021/CQ2100935 /C4toks1TIWEBDF000006558485.xml</v>
      </c>
      <c r="AP888" t="s">
        <v>1710</v>
      </c>
      <c r="AQ888" t="s">
        <v>1710</v>
      </c>
      <c r="AR888" t="s">
        <v>1710</v>
      </c>
      <c r="AS888" t="s">
        <v>1710</v>
      </c>
      <c r="AT888" s="1">
        <v>44473</v>
      </c>
      <c r="AU888" t="s">
        <v>73</v>
      </c>
    </row>
    <row r="889" spans="1:47" x14ac:dyDescent="0.3">
      <c r="A889" t="s">
        <v>246</v>
      </c>
      <c r="B889" t="s">
        <v>48</v>
      </c>
      <c r="C889" t="s">
        <v>338</v>
      </c>
      <c r="D889">
        <v>9072</v>
      </c>
      <c r="E889" t="s">
        <v>1685</v>
      </c>
      <c r="F889" t="s">
        <v>352</v>
      </c>
      <c r="G889" t="s">
        <v>912</v>
      </c>
      <c r="H889" t="s">
        <v>1707</v>
      </c>
      <c r="I889" t="s">
        <v>54</v>
      </c>
      <c r="J889" t="s">
        <v>1708</v>
      </c>
      <c r="K889" t="s">
        <v>56</v>
      </c>
      <c r="L889">
        <v>0</v>
      </c>
      <c r="M889" t="s">
        <v>73</v>
      </c>
      <c r="N889">
        <v>0</v>
      </c>
      <c r="O889" t="s">
        <v>58</v>
      </c>
      <c r="P889" t="s">
        <v>59</v>
      </c>
      <c r="Q889" t="s">
        <v>87</v>
      </c>
      <c r="R889" t="s">
        <v>1708</v>
      </c>
      <c r="S889" s="1">
        <v>44440</v>
      </c>
      <c r="T889" s="1">
        <v>44445</v>
      </c>
      <c r="U889">
        <v>37501</v>
      </c>
      <c r="V889" t="s">
        <v>104</v>
      </c>
      <c r="W889" t="s">
        <v>1709</v>
      </c>
      <c r="X889" s="1">
        <v>44473</v>
      </c>
      <c r="Y889" t="s">
        <v>100</v>
      </c>
      <c r="Z889">
        <v>1185.6099999999999</v>
      </c>
      <c r="AA889">
        <v>16</v>
      </c>
      <c r="AB889">
        <v>182.4</v>
      </c>
      <c r="AC889">
        <v>0</v>
      </c>
      <c r="AD889">
        <v>1368.01</v>
      </c>
      <c r="AE889">
        <v>2614.13</v>
      </c>
      <c r="AF889">
        <v>6000</v>
      </c>
      <c r="AG889" t="s">
        <v>1695</v>
      </c>
      <c r="AH889" t="s">
        <v>65</v>
      </c>
      <c r="AI889" t="s">
        <v>65</v>
      </c>
      <c r="AJ889" t="s">
        <v>66</v>
      </c>
      <c r="AK889" t="s">
        <v>66</v>
      </c>
      <c r="AL889" t="s">
        <v>66</v>
      </c>
      <c r="AM889" s="2" t="str">
        <f>HYPERLINK("https://transparencia.cidesi.mx/comprobantes/2021/CQ2100935 /C5hotelFF0000008299.pdf")</f>
        <v>https://transparencia.cidesi.mx/comprobantes/2021/CQ2100935 /C5hotelFF0000008299.pdf</v>
      </c>
      <c r="AN889" t="str">
        <f>HYPERLINK("https://transparencia.cidesi.mx/comprobantes/2021/CQ2100935 /C5hotelFF0000008299.pdf")</f>
        <v>https://transparencia.cidesi.mx/comprobantes/2021/CQ2100935 /C5hotelFF0000008299.pdf</v>
      </c>
      <c r="AO889" t="str">
        <f>HYPERLINK("https://transparencia.cidesi.mx/comprobantes/2021/CQ2100935 /C5hotelFF0000008299.xml")</f>
        <v>https://transparencia.cidesi.mx/comprobantes/2021/CQ2100935 /C5hotelFF0000008299.xml</v>
      </c>
      <c r="AP889" t="s">
        <v>1710</v>
      </c>
      <c r="AQ889" t="s">
        <v>1710</v>
      </c>
      <c r="AR889" t="s">
        <v>1710</v>
      </c>
      <c r="AS889" t="s">
        <v>1710</v>
      </c>
      <c r="AT889" s="1">
        <v>44473</v>
      </c>
      <c r="AU889" t="s">
        <v>73</v>
      </c>
    </row>
    <row r="890" spans="1:47" x14ac:dyDescent="0.3">
      <c r="A890" t="s">
        <v>246</v>
      </c>
      <c r="B890" t="s">
        <v>48</v>
      </c>
      <c r="C890" t="s">
        <v>338</v>
      </c>
      <c r="D890">
        <v>9072</v>
      </c>
      <c r="E890" t="s">
        <v>1685</v>
      </c>
      <c r="F890" t="s">
        <v>352</v>
      </c>
      <c r="G890" t="s">
        <v>912</v>
      </c>
      <c r="H890" t="s">
        <v>1707</v>
      </c>
      <c r="I890" t="s">
        <v>54</v>
      </c>
      <c r="J890" t="s">
        <v>1708</v>
      </c>
      <c r="K890" t="s">
        <v>56</v>
      </c>
      <c r="L890">
        <v>0</v>
      </c>
      <c r="M890" t="s">
        <v>73</v>
      </c>
      <c r="N890">
        <v>0</v>
      </c>
      <c r="O890" t="s">
        <v>58</v>
      </c>
      <c r="P890" t="s">
        <v>59</v>
      </c>
      <c r="Q890" t="s">
        <v>87</v>
      </c>
      <c r="R890" t="s">
        <v>1708</v>
      </c>
      <c r="S890" s="1">
        <v>44440</v>
      </c>
      <c r="T890" s="1">
        <v>44445</v>
      </c>
      <c r="U890">
        <v>37501</v>
      </c>
      <c r="V890" t="s">
        <v>534</v>
      </c>
      <c r="W890" t="s">
        <v>1709</v>
      </c>
      <c r="X890" s="1">
        <v>44473</v>
      </c>
      <c r="Y890" t="s">
        <v>100</v>
      </c>
      <c r="Z890">
        <v>120.66</v>
      </c>
      <c r="AA890">
        <v>16</v>
      </c>
      <c r="AB890">
        <v>19.309999999999999</v>
      </c>
      <c r="AC890">
        <v>0</v>
      </c>
      <c r="AD890">
        <v>139.97</v>
      </c>
      <c r="AE890">
        <v>2614.13</v>
      </c>
      <c r="AF890">
        <v>6000</v>
      </c>
      <c r="AG890" t="s">
        <v>1711</v>
      </c>
      <c r="AH890" t="s">
        <v>66</v>
      </c>
      <c r="AI890" t="s">
        <v>65</v>
      </c>
      <c r="AJ890" t="s">
        <v>66</v>
      </c>
      <c r="AK890" t="s">
        <v>66</v>
      </c>
      <c r="AL890" t="s">
        <v>66</v>
      </c>
      <c r="AM890" s="2" t="str">
        <f>HYPERLINK("https://transparencia.cidesi.mx/comprobantes/2021/CQ2100935 /C6140uber46266047-8ab5-5cf1-94c5-78bdd81b130b.pdf")</f>
        <v>https://transparencia.cidesi.mx/comprobantes/2021/CQ2100935 /C6140uber46266047-8ab5-5cf1-94c5-78bdd81b130b.pdf</v>
      </c>
      <c r="AN890" t="str">
        <f>HYPERLINK("https://transparencia.cidesi.mx/comprobantes/2021/CQ2100935 /C6140uber46266047-8ab5-5cf1-94c5-78bdd81b130b.pdf")</f>
        <v>https://transparencia.cidesi.mx/comprobantes/2021/CQ2100935 /C6140uber46266047-8ab5-5cf1-94c5-78bdd81b130b.pdf</v>
      </c>
      <c r="AO890" t="str">
        <f>HYPERLINK("https://transparencia.cidesi.mx/comprobantes/2021/CQ2100935 /C6140uber46266047-8ab5-5cf1-94c5-78bdd81b130b.xml")</f>
        <v>https://transparencia.cidesi.mx/comprobantes/2021/CQ2100935 /C6140uber46266047-8ab5-5cf1-94c5-78bdd81b130b.xml</v>
      </c>
      <c r="AP890" t="s">
        <v>1710</v>
      </c>
      <c r="AQ890" t="s">
        <v>1710</v>
      </c>
      <c r="AR890" t="s">
        <v>1710</v>
      </c>
      <c r="AS890" t="s">
        <v>1710</v>
      </c>
      <c r="AT890" s="1">
        <v>44473</v>
      </c>
      <c r="AU890" t="s">
        <v>73</v>
      </c>
    </row>
    <row r="891" spans="1:47" x14ac:dyDescent="0.3">
      <c r="A891" t="s">
        <v>246</v>
      </c>
      <c r="B891" t="s">
        <v>48</v>
      </c>
      <c r="C891" t="s">
        <v>338</v>
      </c>
      <c r="D891">
        <v>9072</v>
      </c>
      <c r="E891" t="s">
        <v>1685</v>
      </c>
      <c r="F891" t="s">
        <v>352</v>
      </c>
      <c r="G891" t="s">
        <v>912</v>
      </c>
      <c r="H891" t="s">
        <v>1707</v>
      </c>
      <c r="I891" t="s">
        <v>54</v>
      </c>
      <c r="J891" t="s">
        <v>1708</v>
      </c>
      <c r="K891" t="s">
        <v>56</v>
      </c>
      <c r="L891">
        <v>0</v>
      </c>
      <c r="M891" t="s">
        <v>73</v>
      </c>
      <c r="N891">
        <v>0</v>
      </c>
      <c r="O891" t="s">
        <v>58</v>
      </c>
      <c r="P891" t="s">
        <v>59</v>
      </c>
      <c r="Q891" t="s">
        <v>87</v>
      </c>
      <c r="R891" t="s">
        <v>1708</v>
      </c>
      <c r="S891" s="1">
        <v>44440</v>
      </c>
      <c r="T891" s="1">
        <v>44445</v>
      </c>
      <c r="U891">
        <v>37501</v>
      </c>
      <c r="V891" t="s">
        <v>534</v>
      </c>
      <c r="W891" t="s">
        <v>1709</v>
      </c>
      <c r="X891" s="1">
        <v>44473</v>
      </c>
      <c r="Y891" t="s">
        <v>100</v>
      </c>
      <c r="Z891">
        <v>112.03</v>
      </c>
      <c r="AA891">
        <v>16</v>
      </c>
      <c r="AB891">
        <v>17.920000000000002</v>
      </c>
      <c r="AC891">
        <v>0</v>
      </c>
      <c r="AD891">
        <v>129.94999999999999</v>
      </c>
      <c r="AE891">
        <v>2614.13</v>
      </c>
      <c r="AF891">
        <v>6000</v>
      </c>
      <c r="AG891" t="s">
        <v>1711</v>
      </c>
      <c r="AH891" t="s">
        <v>66</v>
      </c>
      <c r="AI891" t="s">
        <v>65</v>
      </c>
      <c r="AJ891" t="s">
        <v>66</v>
      </c>
      <c r="AK891" t="s">
        <v>66</v>
      </c>
      <c r="AL891" t="s">
        <v>66</v>
      </c>
      <c r="AM891" s="2" t="str">
        <f>HYPERLINK("https://transparencia.cidesi.mx/comprobantes/2021/CQ2100935 /C7130uber6ce4946e-21f8-5e20-8083-3a7b74377794.pdf")</f>
        <v>https://transparencia.cidesi.mx/comprobantes/2021/CQ2100935 /C7130uber6ce4946e-21f8-5e20-8083-3a7b74377794.pdf</v>
      </c>
      <c r="AN891" t="str">
        <f>HYPERLINK("https://transparencia.cidesi.mx/comprobantes/2021/CQ2100935 /C7130uber6ce4946e-21f8-5e20-8083-3a7b74377794.pdf")</f>
        <v>https://transparencia.cidesi.mx/comprobantes/2021/CQ2100935 /C7130uber6ce4946e-21f8-5e20-8083-3a7b74377794.pdf</v>
      </c>
      <c r="AO891" t="str">
        <f>HYPERLINK("https://transparencia.cidesi.mx/comprobantes/2021/CQ2100935 /C7130uber6ce4946e-21f8-5e20-8083-3a7b74377794.xml")</f>
        <v>https://transparencia.cidesi.mx/comprobantes/2021/CQ2100935 /C7130uber6ce4946e-21f8-5e20-8083-3a7b74377794.xml</v>
      </c>
      <c r="AP891" t="s">
        <v>1710</v>
      </c>
      <c r="AQ891" t="s">
        <v>1710</v>
      </c>
      <c r="AR891" t="s">
        <v>1710</v>
      </c>
      <c r="AS891" t="s">
        <v>1710</v>
      </c>
      <c r="AT891" s="1">
        <v>44473</v>
      </c>
      <c r="AU891" t="s">
        <v>73</v>
      </c>
    </row>
    <row r="892" spans="1:47" x14ac:dyDescent="0.3">
      <c r="A892" t="s">
        <v>246</v>
      </c>
      <c r="B892" t="s">
        <v>48</v>
      </c>
      <c r="C892" t="s">
        <v>338</v>
      </c>
      <c r="D892">
        <v>9072</v>
      </c>
      <c r="E892" t="s">
        <v>1685</v>
      </c>
      <c r="F892" t="s">
        <v>352</v>
      </c>
      <c r="G892" t="s">
        <v>912</v>
      </c>
      <c r="H892" t="s">
        <v>1707</v>
      </c>
      <c r="I892" t="s">
        <v>54</v>
      </c>
      <c r="J892" t="s">
        <v>1708</v>
      </c>
      <c r="K892" t="s">
        <v>56</v>
      </c>
      <c r="L892">
        <v>0</v>
      </c>
      <c r="M892" t="s">
        <v>73</v>
      </c>
      <c r="N892">
        <v>0</v>
      </c>
      <c r="O892" t="s">
        <v>58</v>
      </c>
      <c r="P892" t="s">
        <v>59</v>
      </c>
      <c r="Q892" t="s">
        <v>87</v>
      </c>
      <c r="R892" t="s">
        <v>1708</v>
      </c>
      <c r="S892" s="1">
        <v>44440</v>
      </c>
      <c r="T892" s="1">
        <v>44445</v>
      </c>
      <c r="U892">
        <v>37501</v>
      </c>
      <c r="V892" t="s">
        <v>61</v>
      </c>
      <c r="W892" t="s">
        <v>1709</v>
      </c>
      <c r="X892" s="1">
        <v>44473</v>
      </c>
      <c r="Y892" t="s">
        <v>100</v>
      </c>
      <c r="Z892">
        <v>187.5</v>
      </c>
      <c r="AA892">
        <v>0</v>
      </c>
      <c r="AB892">
        <v>0</v>
      </c>
      <c r="AC892">
        <v>0</v>
      </c>
      <c r="AD892">
        <v>187.5</v>
      </c>
      <c r="AE892">
        <v>2614.13</v>
      </c>
      <c r="AF892">
        <v>6000</v>
      </c>
      <c r="AG892" t="s">
        <v>1689</v>
      </c>
      <c r="AH892" t="s">
        <v>65</v>
      </c>
      <c r="AI892" t="s">
        <v>65</v>
      </c>
      <c r="AJ892" t="s">
        <v>66</v>
      </c>
      <c r="AK892" t="s">
        <v>66</v>
      </c>
      <c r="AL892" t="s">
        <v>66</v>
      </c>
      <c r="AM892" s="2" t="str">
        <f>HYPERLINK("https://transparencia.cidesi.mx/comprobantes/2021/CQ2100935 /C8oxxo188FACTURA_1631201583343_344249079.pdf")</f>
        <v>https://transparencia.cidesi.mx/comprobantes/2021/CQ2100935 /C8oxxo188FACTURA_1631201583343_344249079.pdf</v>
      </c>
      <c r="AN892" t="str">
        <f>HYPERLINK("https://transparencia.cidesi.mx/comprobantes/2021/CQ2100935 /C8oxxo188FACTURA_1631201583343_344249079.pdf")</f>
        <v>https://transparencia.cidesi.mx/comprobantes/2021/CQ2100935 /C8oxxo188FACTURA_1631201583343_344249079.pdf</v>
      </c>
      <c r="AO892" t="str">
        <f>HYPERLINK("https://transparencia.cidesi.mx/comprobantes/2021/CQ2100935 /C8oxxo188FACTURA_1631201583343_344249079.xml")</f>
        <v>https://transparencia.cidesi.mx/comprobantes/2021/CQ2100935 /C8oxxo188FACTURA_1631201583343_344249079.xml</v>
      </c>
      <c r="AP892" t="s">
        <v>1710</v>
      </c>
      <c r="AQ892" t="s">
        <v>1710</v>
      </c>
      <c r="AR892" t="s">
        <v>1710</v>
      </c>
      <c r="AS892" t="s">
        <v>1710</v>
      </c>
      <c r="AT892" s="1">
        <v>44473</v>
      </c>
      <c r="AU892" t="s">
        <v>73</v>
      </c>
    </row>
    <row r="893" spans="1:47" x14ac:dyDescent="0.3">
      <c r="A893" t="s">
        <v>246</v>
      </c>
      <c r="B893" t="s">
        <v>48</v>
      </c>
      <c r="C893" t="s">
        <v>338</v>
      </c>
      <c r="D893">
        <v>9072</v>
      </c>
      <c r="E893" t="s">
        <v>1685</v>
      </c>
      <c r="F893" t="s">
        <v>352</v>
      </c>
      <c r="G893" t="s">
        <v>912</v>
      </c>
      <c r="H893" t="s">
        <v>1712</v>
      </c>
      <c r="I893" t="s">
        <v>54</v>
      </c>
      <c r="J893" t="s">
        <v>1713</v>
      </c>
      <c r="K893" t="s">
        <v>56</v>
      </c>
      <c r="L893">
        <v>0</v>
      </c>
      <c r="M893" t="s">
        <v>73</v>
      </c>
      <c r="N893">
        <v>0</v>
      </c>
      <c r="O893" t="s">
        <v>58</v>
      </c>
      <c r="P893" t="s">
        <v>59</v>
      </c>
      <c r="Q893" t="s">
        <v>87</v>
      </c>
      <c r="R893" t="s">
        <v>1713</v>
      </c>
      <c r="S893" s="1">
        <v>44452</v>
      </c>
      <c r="T893" s="1">
        <v>44452</v>
      </c>
      <c r="U893">
        <v>37501</v>
      </c>
      <c r="V893" t="s">
        <v>61</v>
      </c>
      <c r="W893" t="s">
        <v>1714</v>
      </c>
      <c r="X893" s="1">
        <v>44453</v>
      </c>
      <c r="Y893" t="s">
        <v>63</v>
      </c>
      <c r="Z893">
        <v>176.72</v>
      </c>
      <c r="AA893">
        <v>16</v>
      </c>
      <c r="AB893">
        <v>28.28</v>
      </c>
      <c r="AC893">
        <v>20.5</v>
      </c>
      <c r="AD893">
        <v>225.5</v>
      </c>
      <c r="AE893">
        <v>485.4</v>
      </c>
      <c r="AF893">
        <v>545</v>
      </c>
      <c r="AG893" t="s">
        <v>1689</v>
      </c>
      <c r="AH893" t="s">
        <v>65</v>
      </c>
      <c r="AI893" t="s">
        <v>65</v>
      </c>
      <c r="AJ893" t="s">
        <v>66</v>
      </c>
      <c r="AK893" t="s">
        <v>66</v>
      </c>
      <c r="AL893" t="s">
        <v>66</v>
      </c>
      <c r="AM893" s="2" t="str">
        <f>HYPERLINK("https://transparencia.cidesi.mx/comprobantes/2021/CQ2100805 /C1DELBOSQUERORR791119M94_Factura__38358_5A6F4014-6C8F-4C8E-B3B9-6232E8ED6A5E.pdf")</f>
        <v>https://transparencia.cidesi.mx/comprobantes/2021/CQ2100805 /C1DELBOSQUERORR791119M94_Factura__38358_5A6F4014-6C8F-4C8E-B3B9-6232E8ED6A5E.pdf</v>
      </c>
      <c r="AN893" t="str">
        <f>HYPERLINK("https://transparencia.cidesi.mx/comprobantes/2021/CQ2100805 /C1DELBOSQUERORR791119M94_Factura__38358_5A6F4014-6C8F-4C8E-B3B9-6232E8ED6A5E.pdf")</f>
        <v>https://transparencia.cidesi.mx/comprobantes/2021/CQ2100805 /C1DELBOSQUERORR791119M94_Factura__38358_5A6F4014-6C8F-4C8E-B3B9-6232E8ED6A5E.pdf</v>
      </c>
      <c r="AO893" t="str">
        <f>HYPERLINK("https://transparencia.cidesi.mx/comprobantes/2021/CQ2100805 /C1DELBOSQUERORR791119M94_Factura__38358_5A6F4014-6C8F-4C8E-B3B9-6232E8ED6A5E.xml")</f>
        <v>https://transparencia.cidesi.mx/comprobantes/2021/CQ2100805 /C1DELBOSQUERORR791119M94_Factura__38358_5A6F4014-6C8F-4C8E-B3B9-6232E8ED6A5E.xml</v>
      </c>
      <c r="AP893" t="s">
        <v>1713</v>
      </c>
      <c r="AQ893" t="s">
        <v>1713</v>
      </c>
      <c r="AR893" t="s">
        <v>1713</v>
      </c>
      <c r="AS893" t="s">
        <v>1713</v>
      </c>
      <c r="AT893" s="1">
        <v>44460</v>
      </c>
      <c r="AU893" s="1">
        <v>44470</v>
      </c>
    </row>
    <row r="894" spans="1:47" x14ac:dyDescent="0.3">
      <c r="A894" t="s">
        <v>246</v>
      </c>
      <c r="B894" t="s">
        <v>48</v>
      </c>
      <c r="C894" t="s">
        <v>338</v>
      </c>
      <c r="D894">
        <v>9072</v>
      </c>
      <c r="E894" t="s">
        <v>1685</v>
      </c>
      <c r="F894" t="s">
        <v>352</v>
      </c>
      <c r="G894" t="s">
        <v>912</v>
      </c>
      <c r="H894" t="s">
        <v>1712</v>
      </c>
      <c r="I894" t="s">
        <v>54</v>
      </c>
      <c r="J894" t="s">
        <v>1713</v>
      </c>
      <c r="K894" t="s">
        <v>56</v>
      </c>
      <c r="L894">
        <v>0</v>
      </c>
      <c r="M894" t="s">
        <v>73</v>
      </c>
      <c r="N894">
        <v>0</v>
      </c>
      <c r="O894" t="s">
        <v>58</v>
      </c>
      <c r="P894" t="s">
        <v>59</v>
      </c>
      <c r="Q894" t="s">
        <v>87</v>
      </c>
      <c r="R894" t="s">
        <v>1713</v>
      </c>
      <c r="S894" s="1">
        <v>44452</v>
      </c>
      <c r="T894" s="1">
        <v>44452</v>
      </c>
      <c r="U894">
        <v>37501</v>
      </c>
      <c r="V894" t="s">
        <v>534</v>
      </c>
      <c r="W894" t="s">
        <v>1714</v>
      </c>
      <c r="X894" s="1">
        <v>44453</v>
      </c>
      <c r="Y894" t="s">
        <v>63</v>
      </c>
      <c r="Z894">
        <v>103.4</v>
      </c>
      <c r="AA894">
        <v>16</v>
      </c>
      <c r="AB894">
        <v>16.54</v>
      </c>
      <c r="AC894">
        <v>0</v>
      </c>
      <c r="AD894">
        <v>119.94</v>
      </c>
      <c r="AE894">
        <v>485.4</v>
      </c>
      <c r="AF894">
        <v>545</v>
      </c>
      <c r="AG894" t="s">
        <v>1700</v>
      </c>
      <c r="AH894" t="s">
        <v>66</v>
      </c>
      <c r="AI894" t="s">
        <v>65</v>
      </c>
      <c r="AJ894" t="s">
        <v>66</v>
      </c>
      <c r="AK894" t="s">
        <v>66</v>
      </c>
      <c r="AL894" t="s">
        <v>66</v>
      </c>
      <c r="AM894" s="2" t="str">
        <f>HYPERLINK("https://transparencia.cidesi.mx/comprobantes/2021/CQ2100805 /C2UBER1202c6949eb-db96-52ee-a00d-acd3eaa16084.pdf")</f>
        <v>https://transparencia.cidesi.mx/comprobantes/2021/CQ2100805 /C2UBER1202c6949eb-db96-52ee-a00d-acd3eaa16084.pdf</v>
      </c>
      <c r="AN894" t="str">
        <f>HYPERLINK("https://transparencia.cidesi.mx/comprobantes/2021/CQ2100805 /C2UBER1202c6949eb-db96-52ee-a00d-acd3eaa16084.pdf")</f>
        <v>https://transparencia.cidesi.mx/comprobantes/2021/CQ2100805 /C2UBER1202c6949eb-db96-52ee-a00d-acd3eaa16084.pdf</v>
      </c>
      <c r="AO894" t="str">
        <f>HYPERLINK("https://transparencia.cidesi.mx/comprobantes/2021/CQ2100805 /C2UBER1202c6949eb-db96-52ee-a00d-acd3eaa16084.xml")</f>
        <v>https://transparencia.cidesi.mx/comprobantes/2021/CQ2100805 /C2UBER1202c6949eb-db96-52ee-a00d-acd3eaa16084.xml</v>
      </c>
      <c r="AP894" t="s">
        <v>1713</v>
      </c>
      <c r="AQ894" t="s">
        <v>1713</v>
      </c>
      <c r="AR894" t="s">
        <v>1713</v>
      </c>
      <c r="AS894" t="s">
        <v>1713</v>
      </c>
      <c r="AT894" s="1">
        <v>44460</v>
      </c>
      <c r="AU894" s="1">
        <v>44470</v>
      </c>
    </row>
    <row r="895" spans="1:47" x14ac:dyDescent="0.3">
      <c r="A895" t="s">
        <v>246</v>
      </c>
      <c r="B895" t="s">
        <v>48</v>
      </c>
      <c r="C895" t="s">
        <v>338</v>
      </c>
      <c r="D895">
        <v>9072</v>
      </c>
      <c r="E895" t="s">
        <v>1685</v>
      </c>
      <c r="F895" t="s">
        <v>352</v>
      </c>
      <c r="G895" t="s">
        <v>912</v>
      </c>
      <c r="H895" t="s">
        <v>1712</v>
      </c>
      <c r="I895" t="s">
        <v>54</v>
      </c>
      <c r="J895" t="s">
        <v>1713</v>
      </c>
      <c r="K895" t="s">
        <v>56</v>
      </c>
      <c r="L895">
        <v>0</v>
      </c>
      <c r="M895" t="s">
        <v>73</v>
      </c>
      <c r="N895">
        <v>0</v>
      </c>
      <c r="O895" t="s">
        <v>58</v>
      </c>
      <c r="P895" t="s">
        <v>59</v>
      </c>
      <c r="Q895" t="s">
        <v>87</v>
      </c>
      <c r="R895" t="s">
        <v>1713</v>
      </c>
      <c r="S895" s="1">
        <v>44452</v>
      </c>
      <c r="T895" s="1">
        <v>44452</v>
      </c>
      <c r="U895">
        <v>37501</v>
      </c>
      <c r="V895" t="s">
        <v>534</v>
      </c>
      <c r="W895" t="s">
        <v>1714</v>
      </c>
      <c r="X895" s="1">
        <v>44453</v>
      </c>
      <c r="Y895" t="s">
        <v>63</v>
      </c>
      <c r="Z895">
        <v>120.66</v>
      </c>
      <c r="AA895">
        <v>16</v>
      </c>
      <c r="AB895">
        <v>19.3</v>
      </c>
      <c r="AC895">
        <v>0</v>
      </c>
      <c r="AD895">
        <v>139.96</v>
      </c>
      <c r="AE895">
        <v>485.4</v>
      </c>
      <c r="AF895">
        <v>545</v>
      </c>
      <c r="AG895" t="s">
        <v>1700</v>
      </c>
      <c r="AH895" t="s">
        <v>66</v>
      </c>
      <c r="AI895" t="s">
        <v>65</v>
      </c>
      <c r="AJ895" t="s">
        <v>66</v>
      </c>
      <c r="AK895" t="s">
        <v>66</v>
      </c>
      <c r="AL895" t="s">
        <v>66</v>
      </c>
      <c r="AM895" s="2" t="str">
        <f>HYPERLINK("https://transparencia.cidesi.mx/comprobantes/2021/CQ2100805 /C3UBER1400fd23477-89d7-5c70-8a97-f052b4e75b41.pdf")</f>
        <v>https://transparencia.cidesi.mx/comprobantes/2021/CQ2100805 /C3UBER1400fd23477-89d7-5c70-8a97-f052b4e75b41.pdf</v>
      </c>
      <c r="AN895" t="str">
        <f>HYPERLINK("https://transparencia.cidesi.mx/comprobantes/2021/CQ2100805 /C3UBER1400fd23477-89d7-5c70-8a97-f052b4e75b41.pdf")</f>
        <v>https://transparencia.cidesi.mx/comprobantes/2021/CQ2100805 /C3UBER1400fd23477-89d7-5c70-8a97-f052b4e75b41.pdf</v>
      </c>
      <c r="AO895" t="str">
        <f>HYPERLINK("https://transparencia.cidesi.mx/comprobantes/2021/CQ2100805 /C3UBER1400fd23477-89d7-5c70-8a97-f052b4e75b41.xml")</f>
        <v>https://transparencia.cidesi.mx/comprobantes/2021/CQ2100805 /C3UBER1400fd23477-89d7-5c70-8a97-f052b4e75b41.xml</v>
      </c>
      <c r="AP895" t="s">
        <v>1713</v>
      </c>
      <c r="AQ895" t="s">
        <v>1713</v>
      </c>
      <c r="AR895" t="s">
        <v>1713</v>
      </c>
      <c r="AS895" t="s">
        <v>1713</v>
      </c>
      <c r="AT895" s="1">
        <v>44460</v>
      </c>
      <c r="AU895" s="1">
        <v>44470</v>
      </c>
    </row>
    <row r="896" spans="1:47" x14ac:dyDescent="0.3">
      <c r="A896" t="s">
        <v>246</v>
      </c>
      <c r="B896" t="s">
        <v>48</v>
      </c>
      <c r="C896" t="s">
        <v>338</v>
      </c>
      <c r="D896">
        <v>9072</v>
      </c>
      <c r="E896" t="s">
        <v>1685</v>
      </c>
      <c r="F896" t="s">
        <v>352</v>
      </c>
      <c r="G896" t="s">
        <v>912</v>
      </c>
      <c r="H896" t="s">
        <v>1715</v>
      </c>
      <c r="I896" t="s">
        <v>54</v>
      </c>
      <c r="J896" t="s">
        <v>1716</v>
      </c>
      <c r="K896" t="s">
        <v>56</v>
      </c>
      <c r="L896">
        <v>0</v>
      </c>
      <c r="M896" t="s">
        <v>73</v>
      </c>
      <c r="N896">
        <v>0</v>
      </c>
      <c r="O896" t="s">
        <v>58</v>
      </c>
      <c r="P896" t="s">
        <v>59</v>
      </c>
      <c r="Q896" t="s">
        <v>108</v>
      </c>
      <c r="R896" t="s">
        <v>1716</v>
      </c>
      <c r="S896" s="1">
        <v>44459</v>
      </c>
      <c r="T896" s="1">
        <v>44460</v>
      </c>
      <c r="U896">
        <v>37501</v>
      </c>
      <c r="V896" t="s">
        <v>61</v>
      </c>
      <c r="W896" t="s">
        <v>1717</v>
      </c>
      <c r="X896" s="1">
        <v>44460</v>
      </c>
      <c r="Y896" t="s">
        <v>100</v>
      </c>
      <c r="Z896">
        <v>422.45</v>
      </c>
      <c r="AA896">
        <v>16</v>
      </c>
      <c r="AB896">
        <v>60.55</v>
      </c>
      <c r="AC896">
        <v>0</v>
      </c>
      <c r="AD896">
        <v>483</v>
      </c>
      <c r="AE896">
        <v>648.88</v>
      </c>
      <c r="AF896">
        <v>1636</v>
      </c>
      <c r="AG896" t="s">
        <v>1689</v>
      </c>
      <c r="AH896" t="s">
        <v>65</v>
      </c>
      <c r="AI896" t="s">
        <v>65</v>
      </c>
      <c r="AJ896" t="s">
        <v>66</v>
      </c>
      <c r="AK896" t="s">
        <v>66</v>
      </c>
      <c r="AL896" t="s">
        <v>66</v>
      </c>
      <c r="AM896" s="2" t="str">
        <f>HYPERLINK("https://transparencia.cidesi.mx/comprobantes/2021/CQ2100853 /C1GEX0108298K9FB0000091523.pdf")</f>
        <v>https://transparencia.cidesi.mx/comprobantes/2021/CQ2100853 /C1GEX0108298K9FB0000091523.pdf</v>
      </c>
      <c r="AN896" t="str">
        <f>HYPERLINK("https://transparencia.cidesi.mx/comprobantes/2021/CQ2100853 /C1GEX0108298K9FB0000091523.pdf")</f>
        <v>https://transparencia.cidesi.mx/comprobantes/2021/CQ2100853 /C1GEX0108298K9FB0000091523.pdf</v>
      </c>
      <c r="AO896" t="str">
        <f>HYPERLINK("https://transparencia.cidesi.mx/comprobantes/2021/CQ2100853 /C1GEX0108298K9FB0000091523.xml")</f>
        <v>https://transparencia.cidesi.mx/comprobantes/2021/CQ2100853 /C1GEX0108298K9FB0000091523.xml</v>
      </c>
      <c r="AP896" t="s">
        <v>1716</v>
      </c>
      <c r="AQ896" t="s">
        <v>1716</v>
      </c>
      <c r="AR896" t="s">
        <v>1716</v>
      </c>
      <c r="AS896" t="s">
        <v>1716</v>
      </c>
      <c r="AT896" s="1">
        <v>44461</v>
      </c>
      <c r="AU896" t="s">
        <v>73</v>
      </c>
    </row>
    <row r="897" spans="1:47" x14ac:dyDescent="0.3">
      <c r="A897" t="s">
        <v>246</v>
      </c>
      <c r="B897" t="s">
        <v>48</v>
      </c>
      <c r="C897" t="s">
        <v>338</v>
      </c>
      <c r="D897">
        <v>9072</v>
      </c>
      <c r="E897" t="s">
        <v>1685</v>
      </c>
      <c r="F897" t="s">
        <v>352</v>
      </c>
      <c r="G897" t="s">
        <v>912</v>
      </c>
      <c r="H897" t="s">
        <v>1715</v>
      </c>
      <c r="I897" t="s">
        <v>54</v>
      </c>
      <c r="J897" t="s">
        <v>1716</v>
      </c>
      <c r="K897" t="s">
        <v>56</v>
      </c>
      <c r="L897">
        <v>0</v>
      </c>
      <c r="M897" t="s">
        <v>73</v>
      </c>
      <c r="N897">
        <v>0</v>
      </c>
      <c r="O897" t="s">
        <v>58</v>
      </c>
      <c r="P897" t="s">
        <v>59</v>
      </c>
      <c r="Q897" t="s">
        <v>108</v>
      </c>
      <c r="R897" t="s">
        <v>1716</v>
      </c>
      <c r="S897" s="1">
        <v>44459</v>
      </c>
      <c r="T897" s="1">
        <v>44460</v>
      </c>
      <c r="U897">
        <v>37501</v>
      </c>
      <c r="V897" t="s">
        <v>534</v>
      </c>
      <c r="W897" t="s">
        <v>1717</v>
      </c>
      <c r="X897" s="1">
        <v>44460</v>
      </c>
      <c r="Y897" t="s">
        <v>100</v>
      </c>
      <c r="Z897">
        <v>82.72</v>
      </c>
      <c r="AA897">
        <v>16</v>
      </c>
      <c r="AB897">
        <v>13.24</v>
      </c>
      <c r="AC897">
        <v>0</v>
      </c>
      <c r="AD897">
        <v>95.96</v>
      </c>
      <c r="AE897">
        <v>648.88</v>
      </c>
      <c r="AF897">
        <v>1636</v>
      </c>
      <c r="AG897" t="s">
        <v>1700</v>
      </c>
      <c r="AH897" t="s">
        <v>66</v>
      </c>
      <c r="AI897" t="s">
        <v>65</v>
      </c>
      <c r="AJ897" t="s">
        <v>66</v>
      </c>
      <c r="AK897" t="s">
        <v>66</v>
      </c>
      <c r="AL897" t="s">
        <v>66</v>
      </c>
      <c r="AM897" s="2" t="str">
        <f>HYPERLINK("https://transparencia.cidesi.mx/comprobantes/2021/CQ2100853 /C2uber95bebcca93-5524-5105-ba4c-3a18385cc5fa.pdf")</f>
        <v>https://transparencia.cidesi.mx/comprobantes/2021/CQ2100853 /C2uber95bebcca93-5524-5105-ba4c-3a18385cc5fa.pdf</v>
      </c>
      <c r="AN897" t="str">
        <f>HYPERLINK("https://transparencia.cidesi.mx/comprobantes/2021/CQ2100853 /C2uber95bebcca93-5524-5105-ba4c-3a18385cc5fa.pdf")</f>
        <v>https://transparencia.cidesi.mx/comprobantes/2021/CQ2100853 /C2uber95bebcca93-5524-5105-ba4c-3a18385cc5fa.pdf</v>
      </c>
      <c r="AO897" t="str">
        <f>HYPERLINK("https://transparencia.cidesi.mx/comprobantes/2021/CQ2100853 /C2uber95bebcca93-5524-5105-ba4c-3a18385cc5fa.xml")</f>
        <v>https://transparencia.cidesi.mx/comprobantes/2021/CQ2100853 /C2uber95bebcca93-5524-5105-ba4c-3a18385cc5fa.xml</v>
      </c>
      <c r="AP897" t="s">
        <v>1716</v>
      </c>
      <c r="AQ897" t="s">
        <v>1716</v>
      </c>
      <c r="AR897" t="s">
        <v>1716</v>
      </c>
      <c r="AS897" t="s">
        <v>1716</v>
      </c>
      <c r="AT897" s="1">
        <v>44461</v>
      </c>
      <c r="AU897" t="s">
        <v>73</v>
      </c>
    </row>
    <row r="898" spans="1:47" x14ac:dyDescent="0.3">
      <c r="A898" t="s">
        <v>246</v>
      </c>
      <c r="B898" t="s">
        <v>48</v>
      </c>
      <c r="C898" t="s">
        <v>338</v>
      </c>
      <c r="D898">
        <v>9072</v>
      </c>
      <c r="E898" t="s">
        <v>1685</v>
      </c>
      <c r="F898" t="s">
        <v>352</v>
      </c>
      <c r="G898" t="s">
        <v>912</v>
      </c>
      <c r="H898" t="s">
        <v>1715</v>
      </c>
      <c r="I898" t="s">
        <v>54</v>
      </c>
      <c r="J898" t="s">
        <v>1716</v>
      </c>
      <c r="K898" t="s">
        <v>56</v>
      </c>
      <c r="L898">
        <v>0</v>
      </c>
      <c r="M898" t="s">
        <v>73</v>
      </c>
      <c r="N898">
        <v>0</v>
      </c>
      <c r="O898" t="s">
        <v>58</v>
      </c>
      <c r="P898" t="s">
        <v>59</v>
      </c>
      <c r="Q898" t="s">
        <v>108</v>
      </c>
      <c r="R898" t="s">
        <v>1716</v>
      </c>
      <c r="S898" s="1">
        <v>44459</v>
      </c>
      <c r="T898" s="1">
        <v>44460</v>
      </c>
      <c r="U898">
        <v>37501</v>
      </c>
      <c r="V898" t="s">
        <v>534</v>
      </c>
      <c r="W898" t="s">
        <v>1717</v>
      </c>
      <c r="X898" s="1">
        <v>44460</v>
      </c>
      <c r="Y898" t="s">
        <v>100</v>
      </c>
      <c r="Z898">
        <v>60.28</v>
      </c>
      <c r="AA898">
        <v>16</v>
      </c>
      <c r="AB898">
        <v>9.64</v>
      </c>
      <c r="AC898">
        <v>0</v>
      </c>
      <c r="AD898">
        <v>69.92</v>
      </c>
      <c r="AE898">
        <v>648.88</v>
      </c>
      <c r="AF898">
        <v>1636</v>
      </c>
      <c r="AG898" t="s">
        <v>1700</v>
      </c>
      <c r="AH898" t="s">
        <v>66</v>
      </c>
      <c r="AI898" t="s">
        <v>65</v>
      </c>
      <c r="AJ898" t="s">
        <v>66</v>
      </c>
      <c r="AK898" t="s">
        <v>66</v>
      </c>
      <c r="AL898" t="s">
        <v>66</v>
      </c>
      <c r="AM898" s="2" t="str">
        <f>HYPERLINK("https://transparencia.cidesi.mx/comprobantes/2021/CQ2100853 /C3uber70c6b11ef2-b7d3-5489-9c9b-40616a3733e3.pdf")</f>
        <v>https://transparencia.cidesi.mx/comprobantes/2021/CQ2100853 /C3uber70c6b11ef2-b7d3-5489-9c9b-40616a3733e3.pdf</v>
      </c>
      <c r="AN898" t="str">
        <f>HYPERLINK("https://transparencia.cidesi.mx/comprobantes/2021/CQ2100853 /C3uber70c6b11ef2-b7d3-5489-9c9b-40616a3733e3.pdf")</f>
        <v>https://transparencia.cidesi.mx/comprobantes/2021/CQ2100853 /C3uber70c6b11ef2-b7d3-5489-9c9b-40616a3733e3.pdf</v>
      </c>
      <c r="AO898" t="str">
        <f>HYPERLINK("https://transparencia.cidesi.mx/comprobantes/2021/CQ2100853 /C3uber70c6b11ef2-b7d3-5489-9c9b-40616a3733e3.xml")</f>
        <v>https://transparencia.cidesi.mx/comprobantes/2021/CQ2100853 /C3uber70c6b11ef2-b7d3-5489-9c9b-40616a3733e3.xml</v>
      </c>
      <c r="AP898" t="s">
        <v>1716</v>
      </c>
      <c r="AQ898" t="s">
        <v>1716</v>
      </c>
      <c r="AR898" t="s">
        <v>1716</v>
      </c>
      <c r="AS898" t="s">
        <v>1716</v>
      </c>
      <c r="AT898" s="1">
        <v>44461</v>
      </c>
      <c r="AU898" t="s">
        <v>73</v>
      </c>
    </row>
    <row r="899" spans="1:47" x14ac:dyDescent="0.3">
      <c r="A899" t="s">
        <v>47</v>
      </c>
      <c r="B899" t="s">
        <v>224</v>
      </c>
      <c r="C899" t="s">
        <v>225</v>
      </c>
      <c r="D899">
        <v>9088</v>
      </c>
      <c r="E899" t="s">
        <v>1718</v>
      </c>
      <c r="F899" t="s">
        <v>912</v>
      </c>
      <c r="G899" t="s">
        <v>1719</v>
      </c>
      <c r="H899" t="s">
        <v>1720</v>
      </c>
      <c r="I899" t="s">
        <v>54</v>
      </c>
      <c r="J899" t="s">
        <v>1721</v>
      </c>
      <c r="K899" t="s">
        <v>56</v>
      </c>
      <c r="L899">
        <v>0</v>
      </c>
      <c r="M899" t="s">
        <v>73</v>
      </c>
      <c r="N899">
        <v>0</v>
      </c>
      <c r="O899" t="s">
        <v>58</v>
      </c>
      <c r="P899" t="s">
        <v>59</v>
      </c>
      <c r="Q899" t="s">
        <v>216</v>
      </c>
      <c r="R899" t="s">
        <v>1721</v>
      </c>
      <c r="S899" s="1">
        <v>44414</v>
      </c>
      <c r="T899" s="1">
        <v>44414</v>
      </c>
      <c r="U899">
        <v>37501</v>
      </c>
      <c r="V899" t="s">
        <v>61</v>
      </c>
      <c r="W899" t="s">
        <v>1722</v>
      </c>
      <c r="X899" s="1">
        <v>44420</v>
      </c>
      <c r="Y899" t="s">
        <v>63</v>
      </c>
      <c r="Z899">
        <v>43.9</v>
      </c>
      <c r="AA899">
        <v>16</v>
      </c>
      <c r="AB899">
        <v>0.1</v>
      </c>
      <c r="AC899">
        <v>0</v>
      </c>
      <c r="AD899">
        <v>44</v>
      </c>
      <c r="AE899">
        <v>545</v>
      </c>
      <c r="AF899">
        <v>545</v>
      </c>
      <c r="AG899" t="s">
        <v>1723</v>
      </c>
      <c r="AH899" t="s">
        <v>65</v>
      </c>
      <c r="AI899" t="s">
        <v>65</v>
      </c>
      <c r="AJ899" t="s">
        <v>66</v>
      </c>
      <c r="AK899" t="s">
        <v>66</v>
      </c>
      <c r="AL899" t="s">
        <v>66</v>
      </c>
      <c r="AM899" s="2" t="str">
        <f>HYPERLINK("https://transparencia.cidesi.mx/comprobantes/2021/CQ2100642 /C2FACTURA_1628718785930_340603433.pdf")</f>
        <v>https://transparencia.cidesi.mx/comprobantes/2021/CQ2100642 /C2FACTURA_1628718785930_340603433.pdf</v>
      </c>
      <c r="AN899" t="str">
        <f>HYPERLINK("https://transparencia.cidesi.mx/comprobantes/2021/CQ2100642 /C2FACTURA_1628718785930_340603433.pdf")</f>
        <v>https://transparencia.cidesi.mx/comprobantes/2021/CQ2100642 /C2FACTURA_1628718785930_340603433.pdf</v>
      </c>
      <c r="AO899" t="str">
        <f>HYPERLINK("https://transparencia.cidesi.mx/comprobantes/2021/CQ2100642 /C2FACTURA_1628718785930_340603433.xml")</f>
        <v>https://transparencia.cidesi.mx/comprobantes/2021/CQ2100642 /C2FACTURA_1628718785930_340603433.xml</v>
      </c>
      <c r="AP899" t="s">
        <v>1724</v>
      </c>
      <c r="AQ899" t="s">
        <v>1725</v>
      </c>
      <c r="AR899" t="s">
        <v>1726</v>
      </c>
      <c r="AS899" t="s">
        <v>1727</v>
      </c>
      <c r="AT899" s="1">
        <v>44424</v>
      </c>
      <c r="AU899" s="1">
        <v>44425</v>
      </c>
    </row>
    <row r="900" spans="1:47" x14ac:dyDescent="0.3">
      <c r="A900" t="s">
        <v>47</v>
      </c>
      <c r="B900" t="s">
        <v>224</v>
      </c>
      <c r="C900" t="s">
        <v>225</v>
      </c>
      <c r="D900">
        <v>9088</v>
      </c>
      <c r="E900" t="s">
        <v>1718</v>
      </c>
      <c r="F900" t="s">
        <v>912</v>
      </c>
      <c r="G900" t="s">
        <v>1719</v>
      </c>
      <c r="H900" t="s">
        <v>1720</v>
      </c>
      <c r="I900" t="s">
        <v>54</v>
      </c>
      <c r="J900" t="s">
        <v>1721</v>
      </c>
      <c r="K900" t="s">
        <v>56</v>
      </c>
      <c r="L900">
        <v>0</v>
      </c>
      <c r="M900" t="s">
        <v>73</v>
      </c>
      <c r="N900">
        <v>0</v>
      </c>
      <c r="O900" t="s">
        <v>58</v>
      </c>
      <c r="P900" t="s">
        <v>59</v>
      </c>
      <c r="Q900" t="s">
        <v>216</v>
      </c>
      <c r="R900" t="s">
        <v>1721</v>
      </c>
      <c r="S900" s="1">
        <v>44414</v>
      </c>
      <c r="T900" s="1">
        <v>44414</v>
      </c>
      <c r="U900">
        <v>37501</v>
      </c>
      <c r="V900" t="s">
        <v>61</v>
      </c>
      <c r="W900" t="s">
        <v>1722</v>
      </c>
      <c r="X900" s="1">
        <v>44420</v>
      </c>
      <c r="Y900" t="s">
        <v>63</v>
      </c>
      <c r="Z900">
        <v>405.18</v>
      </c>
      <c r="AA900">
        <v>16</v>
      </c>
      <c r="AB900">
        <v>64.819999999999993</v>
      </c>
      <c r="AC900">
        <v>31</v>
      </c>
      <c r="AD900">
        <v>501</v>
      </c>
      <c r="AE900">
        <v>545</v>
      </c>
      <c r="AF900">
        <v>545</v>
      </c>
      <c r="AG900" t="s">
        <v>1723</v>
      </c>
      <c r="AH900" t="s">
        <v>65</v>
      </c>
      <c r="AI900" t="s">
        <v>65</v>
      </c>
      <c r="AJ900" t="s">
        <v>66</v>
      </c>
      <c r="AK900" t="s">
        <v>66</v>
      </c>
      <c r="AL900" t="s">
        <v>66</v>
      </c>
      <c r="AM900" s="2" t="str">
        <f>HYPERLINK("https://transparencia.cidesi.mx/comprobantes/2021/CQ2100642 /C3AC94B776-DDB0-46A2-8903-0331606BFDEB.pdf")</f>
        <v>https://transparencia.cidesi.mx/comprobantes/2021/CQ2100642 /C3AC94B776-DDB0-46A2-8903-0331606BFDEB.pdf</v>
      </c>
      <c r="AN900" t="str">
        <f>HYPERLINK("https://transparencia.cidesi.mx/comprobantes/2021/CQ2100642 /C3AC94B776-DDB0-46A2-8903-0331606BFDEB.pdf")</f>
        <v>https://transparencia.cidesi.mx/comprobantes/2021/CQ2100642 /C3AC94B776-DDB0-46A2-8903-0331606BFDEB.pdf</v>
      </c>
      <c r="AO900" t="str">
        <f>HYPERLINK("https://transparencia.cidesi.mx/comprobantes/2021/CQ2100642 /C3AC94B776-DDB0-46A2-8903-0331606BFDEB.xml")</f>
        <v>https://transparencia.cidesi.mx/comprobantes/2021/CQ2100642 /C3AC94B776-DDB0-46A2-8903-0331606BFDEB.xml</v>
      </c>
      <c r="AP900" t="s">
        <v>1724</v>
      </c>
      <c r="AQ900" t="s">
        <v>1725</v>
      </c>
      <c r="AR900" t="s">
        <v>1726</v>
      </c>
      <c r="AS900" t="s">
        <v>1727</v>
      </c>
      <c r="AT900" s="1">
        <v>44424</v>
      </c>
      <c r="AU900" s="1">
        <v>44425</v>
      </c>
    </row>
    <row r="901" spans="1:47" x14ac:dyDescent="0.3">
      <c r="A901" t="s">
        <v>47</v>
      </c>
      <c r="B901" t="s">
        <v>224</v>
      </c>
      <c r="C901" t="s">
        <v>225</v>
      </c>
      <c r="D901">
        <v>9088</v>
      </c>
      <c r="E901" t="s">
        <v>1718</v>
      </c>
      <c r="F901" t="s">
        <v>912</v>
      </c>
      <c r="G901" t="s">
        <v>1719</v>
      </c>
      <c r="H901" t="s">
        <v>1728</v>
      </c>
      <c r="I901" t="s">
        <v>54</v>
      </c>
      <c r="J901" t="s">
        <v>1729</v>
      </c>
      <c r="K901" t="s">
        <v>56</v>
      </c>
      <c r="L901">
        <v>0</v>
      </c>
      <c r="M901" t="s">
        <v>73</v>
      </c>
      <c r="N901">
        <v>0</v>
      </c>
      <c r="O901" t="s">
        <v>58</v>
      </c>
      <c r="P901" t="s">
        <v>59</v>
      </c>
      <c r="Q901" t="s">
        <v>216</v>
      </c>
      <c r="R901" t="s">
        <v>1729</v>
      </c>
      <c r="S901" s="1">
        <v>44418</v>
      </c>
      <c r="T901" s="1">
        <v>44418</v>
      </c>
      <c r="U901">
        <v>37501</v>
      </c>
      <c r="V901" t="s">
        <v>61</v>
      </c>
      <c r="W901" t="s">
        <v>1730</v>
      </c>
      <c r="X901" s="1">
        <v>44420</v>
      </c>
      <c r="Y901" t="s">
        <v>63</v>
      </c>
      <c r="Z901">
        <v>43.9</v>
      </c>
      <c r="AA901">
        <v>16</v>
      </c>
      <c r="AB901">
        <v>0.1</v>
      </c>
      <c r="AC901">
        <v>0</v>
      </c>
      <c r="AD901">
        <v>44</v>
      </c>
      <c r="AE901">
        <v>525</v>
      </c>
      <c r="AF901">
        <v>545</v>
      </c>
      <c r="AG901" t="s">
        <v>1723</v>
      </c>
      <c r="AH901" t="s">
        <v>65</v>
      </c>
      <c r="AI901" t="s">
        <v>65</v>
      </c>
      <c r="AJ901" t="s">
        <v>66</v>
      </c>
      <c r="AK901" t="s">
        <v>66</v>
      </c>
      <c r="AL901" t="s">
        <v>66</v>
      </c>
      <c r="AM901" s="2" t="str">
        <f>HYPERLINK("https://transparencia.cidesi.mx/comprobantes/2021/CQ2100643 /C1FACTURA_1628792229680_340682041.pdf")</f>
        <v>https://transparencia.cidesi.mx/comprobantes/2021/CQ2100643 /C1FACTURA_1628792229680_340682041.pdf</v>
      </c>
      <c r="AN901" t="str">
        <f>HYPERLINK("https://transparencia.cidesi.mx/comprobantes/2021/CQ2100643 /C1FACTURA_1628792229680_340682041.pdf")</f>
        <v>https://transparencia.cidesi.mx/comprobantes/2021/CQ2100643 /C1FACTURA_1628792229680_340682041.pdf</v>
      </c>
      <c r="AO901" t="str">
        <f>HYPERLINK("https://transparencia.cidesi.mx/comprobantes/2021/CQ2100643 /C1FACTURA_1628792229680_340682041.xml")</f>
        <v>https://transparencia.cidesi.mx/comprobantes/2021/CQ2100643 /C1FACTURA_1628792229680_340682041.xml</v>
      </c>
      <c r="AP901" t="s">
        <v>1731</v>
      </c>
      <c r="AQ901" t="s">
        <v>1732</v>
      </c>
      <c r="AR901" t="s">
        <v>1733</v>
      </c>
      <c r="AS901" t="s">
        <v>1734</v>
      </c>
      <c r="AT901" s="1">
        <v>44424</v>
      </c>
      <c r="AU901" s="1">
        <v>44428</v>
      </c>
    </row>
    <row r="902" spans="1:47" x14ac:dyDescent="0.3">
      <c r="A902" t="s">
        <v>47</v>
      </c>
      <c r="B902" t="s">
        <v>224</v>
      </c>
      <c r="C902" t="s">
        <v>225</v>
      </c>
      <c r="D902">
        <v>9088</v>
      </c>
      <c r="E902" t="s">
        <v>1718</v>
      </c>
      <c r="F902" t="s">
        <v>912</v>
      </c>
      <c r="G902" t="s">
        <v>1719</v>
      </c>
      <c r="H902" t="s">
        <v>1728</v>
      </c>
      <c r="I902" t="s">
        <v>54</v>
      </c>
      <c r="J902" t="s">
        <v>1729</v>
      </c>
      <c r="K902" t="s">
        <v>56</v>
      </c>
      <c r="L902">
        <v>0</v>
      </c>
      <c r="M902" t="s">
        <v>73</v>
      </c>
      <c r="N902">
        <v>0</v>
      </c>
      <c r="O902" t="s">
        <v>58</v>
      </c>
      <c r="P902" t="s">
        <v>59</v>
      </c>
      <c r="Q902" t="s">
        <v>216</v>
      </c>
      <c r="R902" t="s">
        <v>1729</v>
      </c>
      <c r="S902" s="1">
        <v>44418</v>
      </c>
      <c r="T902" s="1">
        <v>44418</v>
      </c>
      <c r="U902">
        <v>37501</v>
      </c>
      <c r="V902" t="s">
        <v>61</v>
      </c>
      <c r="W902" t="s">
        <v>1730</v>
      </c>
      <c r="X902" s="1">
        <v>44420</v>
      </c>
      <c r="Y902" t="s">
        <v>63</v>
      </c>
      <c r="Z902">
        <v>376.72</v>
      </c>
      <c r="AA902">
        <v>16</v>
      </c>
      <c r="AB902">
        <v>60.28</v>
      </c>
      <c r="AC902">
        <v>44</v>
      </c>
      <c r="AD902">
        <v>481</v>
      </c>
      <c r="AE902">
        <v>525</v>
      </c>
      <c r="AF902">
        <v>545</v>
      </c>
      <c r="AG902" t="s">
        <v>1723</v>
      </c>
      <c r="AH902" t="s">
        <v>65</v>
      </c>
      <c r="AI902" t="s">
        <v>65</v>
      </c>
      <c r="AJ902" t="s">
        <v>66</v>
      </c>
      <c r="AK902" t="s">
        <v>66</v>
      </c>
      <c r="AL902" t="s">
        <v>66</v>
      </c>
      <c r="AM902" s="2" t="str">
        <f>HYPERLINK("https://transparencia.cidesi.mx/comprobantes/2021/CQ2100643 /C2CID840309UG7F0000019109.pdf")</f>
        <v>https://transparencia.cidesi.mx/comprobantes/2021/CQ2100643 /C2CID840309UG7F0000019109.pdf</v>
      </c>
      <c r="AN902" t="str">
        <f>HYPERLINK("https://transparencia.cidesi.mx/comprobantes/2021/CQ2100643 /C2CID840309UG7F0000019109.pdf")</f>
        <v>https://transparencia.cidesi.mx/comprobantes/2021/CQ2100643 /C2CID840309UG7F0000019109.pdf</v>
      </c>
      <c r="AO902" t="str">
        <f>HYPERLINK("https://transparencia.cidesi.mx/comprobantes/2021/CQ2100643 /C2CID840309UG7F0000019109.xml")</f>
        <v>https://transparencia.cidesi.mx/comprobantes/2021/CQ2100643 /C2CID840309UG7F0000019109.xml</v>
      </c>
      <c r="AP902" t="s">
        <v>1731</v>
      </c>
      <c r="AQ902" t="s">
        <v>1732</v>
      </c>
      <c r="AR902" t="s">
        <v>1733</v>
      </c>
      <c r="AS902" t="s">
        <v>1734</v>
      </c>
      <c r="AT902" s="1">
        <v>44424</v>
      </c>
      <c r="AU902" s="1">
        <v>44428</v>
      </c>
    </row>
    <row r="903" spans="1:47" x14ac:dyDescent="0.3">
      <c r="A903" t="s">
        <v>47</v>
      </c>
      <c r="B903" t="s">
        <v>224</v>
      </c>
      <c r="C903" t="s">
        <v>225</v>
      </c>
      <c r="D903">
        <v>9088</v>
      </c>
      <c r="E903" t="s">
        <v>1718</v>
      </c>
      <c r="F903" t="s">
        <v>912</v>
      </c>
      <c r="G903" t="s">
        <v>1719</v>
      </c>
      <c r="H903" t="s">
        <v>1735</v>
      </c>
      <c r="I903" t="s">
        <v>54</v>
      </c>
      <c r="J903" t="s">
        <v>1736</v>
      </c>
      <c r="K903" t="s">
        <v>56</v>
      </c>
      <c r="L903">
        <v>0</v>
      </c>
      <c r="M903" t="s">
        <v>73</v>
      </c>
      <c r="N903">
        <v>0</v>
      </c>
      <c r="O903" t="s">
        <v>58</v>
      </c>
      <c r="P903" t="s">
        <v>59</v>
      </c>
      <c r="Q903" t="s">
        <v>216</v>
      </c>
      <c r="R903" t="s">
        <v>1736</v>
      </c>
      <c r="S903" s="1">
        <v>44419</v>
      </c>
      <c r="T903" s="1">
        <v>44419</v>
      </c>
      <c r="U903">
        <v>37501</v>
      </c>
      <c r="V903" t="s">
        <v>61</v>
      </c>
      <c r="W903" t="s">
        <v>1737</v>
      </c>
      <c r="X903" s="1">
        <v>44424</v>
      </c>
      <c r="Y903" t="s">
        <v>63</v>
      </c>
      <c r="Z903">
        <v>70.03</v>
      </c>
      <c r="AA903">
        <v>16</v>
      </c>
      <c r="AB903">
        <v>5.77</v>
      </c>
      <c r="AC903">
        <v>0</v>
      </c>
      <c r="AD903">
        <v>75.8</v>
      </c>
      <c r="AE903">
        <v>515.80999999999995</v>
      </c>
      <c r="AF903">
        <v>545</v>
      </c>
      <c r="AG903" t="s">
        <v>1723</v>
      </c>
      <c r="AH903" t="s">
        <v>65</v>
      </c>
      <c r="AI903" t="s">
        <v>65</v>
      </c>
      <c r="AJ903" t="s">
        <v>66</v>
      </c>
      <c r="AK903" t="s">
        <v>66</v>
      </c>
      <c r="AL903" t="s">
        <v>66</v>
      </c>
      <c r="AM903" s="2" t="str">
        <f>HYPERLINK("https://transparencia.cidesi.mx/comprobantes/2021/CQ2100649 /C1FACTURA_1628792444480_340682523.pdf")</f>
        <v>https://transparencia.cidesi.mx/comprobantes/2021/CQ2100649 /C1FACTURA_1628792444480_340682523.pdf</v>
      </c>
      <c r="AN903" t="str">
        <f>HYPERLINK("https://transparencia.cidesi.mx/comprobantes/2021/CQ2100649 /C1FACTURA_1628792444480_340682523.pdf")</f>
        <v>https://transparencia.cidesi.mx/comprobantes/2021/CQ2100649 /C1FACTURA_1628792444480_340682523.pdf</v>
      </c>
      <c r="AO903" t="str">
        <f>HYPERLINK("https://transparencia.cidesi.mx/comprobantes/2021/CQ2100649 /C1FACTURA_1628792444480_340682523.xml")</f>
        <v>https://transparencia.cidesi.mx/comprobantes/2021/CQ2100649 /C1FACTURA_1628792444480_340682523.xml</v>
      </c>
      <c r="AP903" t="s">
        <v>1738</v>
      </c>
      <c r="AQ903" t="s">
        <v>1739</v>
      </c>
      <c r="AR903" t="s">
        <v>1740</v>
      </c>
      <c r="AS903" t="s">
        <v>1741</v>
      </c>
      <c r="AT903" s="1">
        <v>44427</v>
      </c>
      <c r="AU903" s="1">
        <v>44432</v>
      </c>
    </row>
    <row r="904" spans="1:47" x14ac:dyDescent="0.3">
      <c r="A904" t="s">
        <v>47</v>
      </c>
      <c r="B904" t="s">
        <v>224</v>
      </c>
      <c r="C904" t="s">
        <v>225</v>
      </c>
      <c r="D904">
        <v>9088</v>
      </c>
      <c r="E904" t="s">
        <v>1718</v>
      </c>
      <c r="F904" t="s">
        <v>912</v>
      </c>
      <c r="G904" t="s">
        <v>1719</v>
      </c>
      <c r="H904" t="s">
        <v>1735</v>
      </c>
      <c r="I904" t="s">
        <v>54</v>
      </c>
      <c r="J904" t="s">
        <v>1736</v>
      </c>
      <c r="K904" t="s">
        <v>56</v>
      </c>
      <c r="L904">
        <v>0</v>
      </c>
      <c r="M904" t="s">
        <v>73</v>
      </c>
      <c r="N904">
        <v>0</v>
      </c>
      <c r="O904" t="s">
        <v>58</v>
      </c>
      <c r="P904" t="s">
        <v>59</v>
      </c>
      <c r="Q904" t="s">
        <v>216</v>
      </c>
      <c r="R904" t="s">
        <v>1736</v>
      </c>
      <c r="S904" s="1">
        <v>44419</v>
      </c>
      <c r="T904" s="1">
        <v>44419</v>
      </c>
      <c r="U904">
        <v>37501</v>
      </c>
      <c r="V904" t="s">
        <v>61</v>
      </c>
      <c r="W904" t="s">
        <v>1737</v>
      </c>
      <c r="X904" s="1">
        <v>44424</v>
      </c>
      <c r="Y904" t="s">
        <v>63</v>
      </c>
      <c r="Z904">
        <v>379.32</v>
      </c>
      <c r="AA904">
        <v>16</v>
      </c>
      <c r="AB904">
        <v>60.69</v>
      </c>
      <c r="AC904">
        <v>0</v>
      </c>
      <c r="AD904">
        <v>440.01</v>
      </c>
      <c r="AE904">
        <v>515.80999999999995</v>
      </c>
      <c r="AF904">
        <v>545</v>
      </c>
      <c r="AG904" t="s">
        <v>1723</v>
      </c>
      <c r="AH904" t="s">
        <v>65</v>
      </c>
      <c r="AI904" t="s">
        <v>65</v>
      </c>
      <c r="AJ904" t="s">
        <v>66</v>
      </c>
      <c r="AK904" t="s">
        <v>66</v>
      </c>
      <c r="AL904" t="s">
        <v>66</v>
      </c>
      <c r="AM904" s="2" t="str">
        <f>HYPERLINK("https://transparencia.cidesi.mx/comprobantes/2021/CQ2100649 /C2E7755D5A-0CF0-4221-85C7-13972BA6534B.pdf")</f>
        <v>https://transparencia.cidesi.mx/comprobantes/2021/CQ2100649 /C2E7755D5A-0CF0-4221-85C7-13972BA6534B.pdf</v>
      </c>
      <c r="AN904" t="str">
        <f>HYPERLINK("https://transparencia.cidesi.mx/comprobantes/2021/CQ2100649 /C2E7755D5A-0CF0-4221-85C7-13972BA6534B.pdf")</f>
        <v>https://transparencia.cidesi.mx/comprobantes/2021/CQ2100649 /C2E7755D5A-0CF0-4221-85C7-13972BA6534B.pdf</v>
      </c>
      <c r="AO904" t="str">
        <f>HYPERLINK("https://transparencia.cidesi.mx/comprobantes/2021/CQ2100649 /C2E7755D5A-0CF0-4221-85C7-13972BA6534B.xml")</f>
        <v>https://transparencia.cidesi.mx/comprobantes/2021/CQ2100649 /C2E7755D5A-0CF0-4221-85C7-13972BA6534B.xml</v>
      </c>
      <c r="AP904" t="s">
        <v>1738</v>
      </c>
      <c r="AQ904" t="s">
        <v>1739</v>
      </c>
      <c r="AR904" t="s">
        <v>1740</v>
      </c>
      <c r="AS904" t="s">
        <v>1741</v>
      </c>
      <c r="AT904" s="1">
        <v>44427</v>
      </c>
      <c r="AU904" s="1">
        <v>44432</v>
      </c>
    </row>
    <row r="905" spans="1:47" x14ac:dyDescent="0.3">
      <c r="A905" t="s">
        <v>47</v>
      </c>
      <c r="B905" t="s">
        <v>224</v>
      </c>
      <c r="C905" t="s">
        <v>225</v>
      </c>
      <c r="D905">
        <v>9088</v>
      </c>
      <c r="E905" t="s">
        <v>1718</v>
      </c>
      <c r="F905" t="s">
        <v>912</v>
      </c>
      <c r="G905" t="s">
        <v>1719</v>
      </c>
      <c r="H905" t="s">
        <v>1742</v>
      </c>
      <c r="I905" t="s">
        <v>54</v>
      </c>
      <c r="J905" t="s">
        <v>1743</v>
      </c>
      <c r="K905" t="s">
        <v>56</v>
      </c>
      <c r="L905">
        <v>0</v>
      </c>
      <c r="M905" t="s">
        <v>73</v>
      </c>
      <c r="N905">
        <v>0</v>
      </c>
      <c r="O905" t="s">
        <v>58</v>
      </c>
      <c r="P905" t="s">
        <v>59</v>
      </c>
      <c r="Q905" t="s">
        <v>378</v>
      </c>
      <c r="R905" t="s">
        <v>1743</v>
      </c>
      <c r="S905" s="1">
        <v>44439</v>
      </c>
      <c r="T905" s="1">
        <v>44440</v>
      </c>
      <c r="U905">
        <v>37501</v>
      </c>
      <c r="V905" t="s">
        <v>61</v>
      </c>
      <c r="W905" t="s">
        <v>1744</v>
      </c>
      <c r="X905" s="1">
        <v>44446</v>
      </c>
      <c r="Y905" t="s">
        <v>63</v>
      </c>
      <c r="Z905">
        <v>362.07</v>
      </c>
      <c r="AA905">
        <v>16</v>
      </c>
      <c r="AB905">
        <v>57.93</v>
      </c>
      <c r="AC905">
        <v>0</v>
      </c>
      <c r="AD905">
        <v>420</v>
      </c>
      <c r="AE905">
        <v>1635</v>
      </c>
      <c r="AF905">
        <v>1636</v>
      </c>
      <c r="AG905" t="s">
        <v>1723</v>
      </c>
      <c r="AH905" t="s">
        <v>65</v>
      </c>
      <c r="AI905" t="s">
        <v>65</v>
      </c>
      <c r="AJ905" t="s">
        <v>66</v>
      </c>
      <c r="AK905" t="s">
        <v>66</v>
      </c>
      <c r="AL905" t="s">
        <v>66</v>
      </c>
      <c r="AM905" s="2" t="str">
        <f>HYPERLINK("https://transparencia.cidesi.mx/comprobantes/2021/CQ2100746 /C1FA0000019738.pdf")</f>
        <v>https://transparencia.cidesi.mx/comprobantes/2021/CQ2100746 /C1FA0000019738.pdf</v>
      </c>
      <c r="AN905" t="str">
        <f>HYPERLINK("https://transparencia.cidesi.mx/comprobantes/2021/CQ2100746 /C1FA0000019738.pdf")</f>
        <v>https://transparencia.cidesi.mx/comprobantes/2021/CQ2100746 /C1FA0000019738.pdf</v>
      </c>
      <c r="AO905" t="str">
        <f>HYPERLINK("https://transparencia.cidesi.mx/comprobantes/2021/CQ2100746 /C1FA0000019738.xml")</f>
        <v>https://transparencia.cidesi.mx/comprobantes/2021/CQ2100746 /C1FA0000019738.xml</v>
      </c>
      <c r="AP905" t="s">
        <v>1745</v>
      </c>
      <c r="AQ905" t="s">
        <v>1746</v>
      </c>
      <c r="AR905" t="s">
        <v>1747</v>
      </c>
      <c r="AS905" t="s">
        <v>1748</v>
      </c>
      <c r="AT905" s="1">
        <v>44448</v>
      </c>
      <c r="AU905" s="1">
        <v>44453</v>
      </c>
    </row>
    <row r="906" spans="1:47" x14ac:dyDescent="0.3">
      <c r="A906" t="s">
        <v>47</v>
      </c>
      <c r="B906" t="s">
        <v>224</v>
      </c>
      <c r="C906" t="s">
        <v>225</v>
      </c>
      <c r="D906">
        <v>9088</v>
      </c>
      <c r="E906" t="s">
        <v>1718</v>
      </c>
      <c r="F906" t="s">
        <v>912</v>
      </c>
      <c r="G906" t="s">
        <v>1719</v>
      </c>
      <c r="H906" t="s">
        <v>1742</v>
      </c>
      <c r="I906" t="s">
        <v>54</v>
      </c>
      <c r="J906" t="s">
        <v>1743</v>
      </c>
      <c r="K906" t="s">
        <v>56</v>
      </c>
      <c r="L906">
        <v>0</v>
      </c>
      <c r="M906" t="s">
        <v>73</v>
      </c>
      <c r="N906">
        <v>0</v>
      </c>
      <c r="O906" t="s">
        <v>58</v>
      </c>
      <c r="P906" t="s">
        <v>59</v>
      </c>
      <c r="Q906" t="s">
        <v>378</v>
      </c>
      <c r="R906" t="s">
        <v>1743</v>
      </c>
      <c r="S906" s="1">
        <v>44439</v>
      </c>
      <c r="T906" s="1">
        <v>44440</v>
      </c>
      <c r="U906">
        <v>37501</v>
      </c>
      <c r="V906" t="s">
        <v>104</v>
      </c>
      <c r="W906" t="s">
        <v>1744</v>
      </c>
      <c r="X906" s="1">
        <v>44446</v>
      </c>
      <c r="Y906" t="s">
        <v>63</v>
      </c>
      <c r="Z906">
        <v>692.44</v>
      </c>
      <c r="AA906">
        <v>16</v>
      </c>
      <c r="AB906">
        <v>107.56</v>
      </c>
      <c r="AC906">
        <v>0</v>
      </c>
      <c r="AD906">
        <v>800</v>
      </c>
      <c r="AE906">
        <v>1635</v>
      </c>
      <c r="AF906">
        <v>1636</v>
      </c>
      <c r="AG906" t="s">
        <v>1749</v>
      </c>
      <c r="AH906" t="s">
        <v>65</v>
      </c>
      <c r="AI906" t="s">
        <v>65</v>
      </c>
      <c r="AJ906" t="s">
        <v>66</v>
      </c>
      <c r="AK906" t="s">
        <v>66</v>
      </c>
      <c r="AL906" t="s">
        <v>66</v>
      </c>
      <c r="AM906" s="2" t="str">
        <f>HYPERLINK("https://transparencia.cidesi.mx/comprobantes/2021/CQ2100746 /C3F-13675.pdf")</f>
        <v>https://transparencia.cidesi.mx/comprobantes/2021/CQ2100746 /C3F-13675.pdf</v>
      </c>
      <c r="AN906" t="str">
        <f>HYPERLINK("https://transparencia.cidesi.mx/comprobantes/2021/CQ2100746 /C3F-13675.pdf")</f>
        <v>https://transparencia.cidesi.mx/comprobantes/2021/CQ2100746 /C3F-13675.pdf</v>
      </c>
      <c r="AO906" t="str">
        <f>HYPERLINK("https://transparencia.cidesi.mx/comprobantes/2021/CQ2100746 /C3F-13675.xml")</f>
        <v>https://transparencia.cidesi.mx/comprobantes/2021/CQ2100746 /C3F-13675.xml</v>
      </c>
      <c r="AP906" t="s">
        <v>1745</v>
      </c>
      <c r="AQ906" t="s">
        <v>1746</v>
      </c>
      <c r="AR906" t="s">
        <v>1747</v>
      </c>
      <c r="AS906" t="s">
        <v>1748</v>
      </c>
      <c r="AT906" s="1">
        <v>44448</v>
      </c>
      <c r="AU906" s="1">
        <v>44453</v>
      </c>
    </row>
    <row r="907" spans="1:47" x14ac:dyDescent="0.3">
      <c r="A907" t="s">
        <v>47</v>
      </c>
      <c r="B907" t="s">
        <v>224</v>
      </c>
      <c r="C907" t="s">
        <v>225</v>
      </c>
      <c r="D907">
        <v>9088</v>
      </c>
      <c r="E907" t="s">
        <v>1718</v>
      </c>
      <c r="F907" t="s">
        <v>912</v>
      </c>
      <c r="G907" t="s">
        <v>1719</v>
      </c>
      <c r="H907" t="s">
        <v>1742</v>
      </c>
      <c r="I907" t="s">
        <v>54</v>
      </c>
      <c r="J907" t="s">
        <v>1743</v>
      </c>
      <c r="K907" t="s">
        <v>56</v>
      </c>
      <c r="L907">
        <v>0</v>
      </c>
      <c r="M907" t="s">
        <v>73</v>
      </c>
      <c r="N907">
        <v>0</v>
      </c>
      <c r="O907" t="s">
        <v>58</v>
      </c>
      <c r="P907" t="s">
        <v>59</v>
      </c>
      <c r="Q907" t="s">
        <v>378</v>
      </c>
      <c r="R907" t="s">
        <v>1743</v>
      </c>
      <c r="S907" s="1">
        <v>44439</v>
      </c>
      <c r="T907" s="1">
        <v>44440</v>
      </c>
      <c r="U907">
        <v>37501</v>
      </c>
      <c r="V907" t="s">
        <v>61</v>
      </c>
      <c r="W907" t="s">
        <v>1744</v>
      </c>
      <c r="X907" s="1">
        <v>44446</v>
      </c>
      <c r="Y907" t="s">
        <v>63</v>
      </c>
      <c r="Z907">
        <v>357.76</v>
      </c>
      <c r="AA907">
        <v>16</v>
      </c>
      <c r="AB907">
        <v>57.24</v>
      </c>
      <c r="AC907">
        <v>0</v>
      </c>
      <c r="AD907">
        <v>415</v>
      </c>
      <c r="AE907">
        <v>1635</v>
      </c>
      <c r="AF907">
        <v>1636</v>
      </c>
      <c r="AG907" t="s">
        <v>1723</v>
      </c>
      <c r="AH907" t="s">
        <v>65</v>
      </c>
      <c r="AI907" t="s">
        <v>65</v>
      </c>
      <c r="AJ907" t="s">
        <v>66</v>
      </c>
      <c r="AK907" t="s">
        <v>66</v>
      </c>
      <c r="AL907" t="s">
        <v>66</v>
      </c>
      <c r="AM907" s="2" t="str">
        <f>HYPERLINK("https://transparencia.cidesi.mx/comprobantes/2021/CQ2100746 /C4FACTURACLIENTE12903.pdf")</f>
        <v>https://transparencia.cidesi.mx/comprobantes/2021/CQ2100746 /C4FACTURACLIENTE12903.pdf</v>
      </c>
      <c r="AN907" t="str">
        <f>HYPERLINK("https://transparencia.cidesi.mx/comprobantes/2021/CQ2100746 /C4FACTURACLIENTE12903.pdf")</f>
        <v>https://transparencia.cidesi.mx/comprobantes/2021/CQ2100746 /C4FACTURACLIENTE12903.pdf</v>
      </c>
      <c r="AO907" t="str">
        <f>HYPERLINK("https://transparencia.cidesi.mx/comprobantes/2021/CQ2100746 /C4FACTURACLIENTE12903.xml")</f>
        <v>https://transparencia.cidesi.mx/comprobantes/2021/CQ2100746 /C4FACTURACLIENTE12903.xml</v>
      </c>
      <c r="AP907" t="s">
        <v>1745</v>
      </c>
      <c r="AQ907" t="s">
        <v>1746</v>
      </c>
      <c r="AR907" t="s">
        <v>1747</v>
      </c>
      <c r="AS907" t="s">
        <v>1748</v>
      </c>
      <c r="AT907" s="1">
        <v>44448</v>
      </c>
      <c r="AU907" s="1">
        <v>44453</v>
      </c>
    </row>
    <row r="908" spans="1:47" x14ac:dyDescent="0.3">
      <c r="A908" t="s">
        <v>47</v>
      </c>
      <c r="B908" t="s">
        <v>224</v>
      </c>
      <c r="C908" t="s">
        <v>225</v>
      </c>
      <c r="D908">
        <v>9088</v>
      </c>
      <c r="E908" t="s">
        <v>1718</v>
      </c>
      <c r="F908" t="s">
        <v>912</v>
      </c>
      <c r="G908" t="s">
        <v>1719</v>
      </c>
      <c r="H908" t="s">
        <v>1750</v>
      </c>
      <c r="I908" t="s">
        <v>54</v>
      </c>
      <c r="J908" t="s">
        <v>1751</v>
      </c>
      <c r="K908" t="s">
        <v>56</v>
      </c>
      <c r="L908">
        <v>0</v>
      </c>
      <c r="M908" t="s">
        <v>73</v>
      </c>
      <c r="N908">
        <v>0</v>
      </c>
      <c r="O908" t="s">
        <v>58</v>
      </c>
      <c r="P908" t="s">
        <v>59</v>
      </c>
      <c r="Q908" t="s">
        <v>1049</v>
      </c>
      <c r="R908" t="s">
        <v>1751</v>
      </c>
      <c r="S908" s="1">
        <v>44447</v>
      </c>
      <c r="T908" s="1">
        <v>44453</v>
      </c>
      <c r="U908">
        <v>37501</v>
      </c>
      <c r="V908" t="s">
        <v>104</v>
      </c>
      <c r="W908" t="s">
        <v>1752</v>
      </c>
      <c r="X908" s="1">
        <v>44461</v>
      </c>
      <c r="Y908" t="s">
        <v>207</v>
      </c>
      <c r="Z908">
        <v>562.6</v>
      </c>
      <c r="AA908">
        <v>16</v>
      </c>
      <c r="AB908">
        <v>87.4</v>
      </c>
      <c r="AC908">
        <v>0</v>
      </c>
      <c r="AD908">
        <v>650</v>
      </c>
      <c r="AE908">
        <v>5821.85</v>
      </c>
      <c r="AF908">
        <v>7988</v>
      </c>
      <c r="AG908" t="s">
        <v>1749</v>
      </c>
      <c r="AH908" t="s">
        <v>65</v>
      </c>
      <c r="AI908" t="s">
        <v>65</v>
      </c>
      <c r="AJ908" t="s">
        <v>66</v>
      </c>
      <c r="AK908" t="s">
        <v>66</v>
      </c>
      <c r="AL908" t="s">
        <v>66</v>
      </c>
      <c r="AM908" s="2" t="str">
        <f>HYPERLINK("https://transparencia.cidesi.mx/comprobantes/2021/CQ2100860 /C1AAPA610627RC0FF44441.pdf")</f>
        <v>https://transparencia.cidesi.mx/comprobantes/2021/CQ2100860 /C1AAPA610627RC0FF44441.pdf</v>
      </c>
      <c r="AN908" t="str">
        <f>HYPERLINK("https://transparencia.cidesi.mx/comprobantes/2021/CQ2100860 /C1AAPA610627RC0FF44441.pdf")</f>
        <v>https://transparencia.cidesi.mx/comprobantes/2021/CQ2100860 /C1AAPA610627RC0FF44441.pdf</v>
      </c>
      <c r="AO908" t="str">
        <f>HYPERLINK("https://transparencia.cidesi.mx/comprobantes/2021/CQ2100860 /C1AAPA610627RC0FF44441.xml")</f>
        <v>https://transparencia.cidesi.mx/comprobantes/2021/CQ2100860 /C1AAPA610627RC0FF44441.xml</v>
      </c>
      <c r="AP908" t="s">
        <v>1753</v>
      </c>
      <c r="AQ908" t="s">
        <v>1754</v>
      </c>
      <c r="AR908" t="s">
        <v>1755</v>
      </c>
      <c r="AS908" t="s">
        <v>1756</v>
      </c>
      <c r="AT908" s="1">
        <v>44462</v>
      </c>
      <c r="AU908" t="s">
        <v>73</v>
      </c>
    </row>
    <row r="909" spans="1:47" x14ac:dyDescent="0.3">
      <c r="A909" t="s">
        <v>47</v>
      </c>
      <c r="B909" t="s">
        <v>224</v>
      </c>
      <c r="C909" t="s">
        <v>225</v>
      </c>
      <c r="D909">
        <v>9088</v>
      </c>
      <c r="E909" t="s">
        <v>1718</v>
      </c>
      <c r="F909" t="s">
        <v>912</v>
      </c>
      <c r="G909" t="s">
        <v>1719</v>
      </c>
      <c r="H909" t="s">
        <v>1750</v>
      </c>
      <c r="I909" t="s">
        <v>54</v>
      </c>
      <c r="J909" t="s">
        <v>1751</v>
      </c>
      <c r="K909" t="s">
        <v>56</v>
      </c>
      <c r="L909">
        <v>0</v>
      </c>
      <c r="M909" t="s">
        <v>73</v>
      </c>
      <c r="N909">
        <v>0</v>
      </c>
      <c r="O909" t="s">
        <v>58</v>
      </c>
      <c r="P909" t="s">
        <v>59</v>
      </c>
      <c r="Q909" t="s">
        <v>1049</v>
      </c>
      <c r="R909" t="s">
        <v>1751</v>
      </c>
      <c r="S909" s="1">
        <v>44447</v>
      </c>
      <c r="T909" s="1">
        <v>44453</v>
      </c>
      <c r="U909">
        <v>37501</v>
      </c>
      <c r="V909" t="s">
        <v>104</v>
      </c>
      <c r="W909" t="s">
        <v>1752</v>
      </c>
      <c r="X909" s="1">
        <v>44461</v>
      </c>
      <c r="Y909" t="s">
        <v>207</v>
      </c>
      <c r="Z909">
        <v>1854</v>
      </c>
      <c r="AA909">
        <v>16</v>
      </c>
      <c r="AB909">
        <v>288</v>
      </c>
      <c r="AC909">
        <v>0</v>
      </c>
      <c r="AD909">
        <v>2142</v>
      </c>
      <c r="AE909">
        <v>5821.85</v>
      </c>
      <c r="AF909">
        <v>7988</v>
      </c>
      <c r="AG909" t="s">
        <v>1749</v>
      </c>
      <c r="AH909" t="s">
        <v>65</v>
      </c>
      <c r="AI909" t="s">
        <v>65</v>
      </c>
      <c r="AJ909" t="s">
        <v>66</v>
      </c>
      <c r="AK909" t="s">
        <v>66</v>
      </c>
      <c r="AL909" t="s">
        <v>66</v>
      </c>
      <c r="AM909" s="2" t="str">
        <f>HYPERLINK("https://transparencia.cidesi.mx/comprobantes/2021/CQ2100860 /C2FM3219.pdf")</f>
        <v>https://transparencia.cidesi.mx/comprobantes/2021/CQ2100860 /C2FM3219.pdf</v>
      </c>
      <c r="AN909" t="str">
        <f>HYPERLINK("https://transparencia.cidesi.mx/comprobantes/2021/CQ2100860 /C2FM3219.pdf")</f>
        <v>https://transparencia.cidesi.mx/comprobantes/2021/CQ2100860 /C2FM3219.pdf</v>
      </c>
      <c r="AO909" t="str">
        <f>HYPERLINK("https://transparencia.cidesi.mx/comprobantes/2021/CQ2100860 /C2FM3219.xml")</f>
        <v>https://transparencia.cidesi.mx/comprobantes/2021/CQ2100860 /C2FM3219.xml</v>
      </c>
      <c r="AP909" t="s">
        <v>1753</v>
      </c>
      <c r="AQ909" t="s">
        <v>1754</v>
      </c>
      <c r="AR909" t="s">
        <v>1755</v>
      </c>
      <c r="AS909" t="s">
        <v>1756</v>
      </c>
      <c r="AT909" s="1">
        <v>44462</v>
      </c>
      <c r="AU909" t="s">
        <v>73</v>
      </c>
    </row>
    <row r="910" spans="1:47" x14ac:dyDescent="0.3">
      <c r="A910" t="s">
        <v>47</v>
      </c>
      <c r="B910" t="s">
        <v>224</v>
      </c>
      <c r="C910" t="s">
        <v>225</v>
      </c>
      <c r="D910">
        <v>9088</v>
      </c>
      <c r="E910" t="s">
        <v>1718</v>
      </c>
      <c r="F910" t="s">
        <v>912</v>
      </c>
      <c r="G910" t="s">
        <v>1719</v>
      </c>
      <c r="H910" t="s">
        <v>1750</v>
      </c>
      <c r="I910" t="s">
        <v>54</v>
      </c>
      <c r="J910" t="s">
        <v>1751</v>
      </c>
      <c r="K910" t="s">
        <v>56</v>
      </c>
      <c r="L910">
        <v>0</v>
      </c>
      <c r="M910" t="s">
        <v>73</v>
      </c>
      <c r="N910">
        <v>0</v>
      </c>
      <c r="O910" t="s">
        <v>58</v>
      </c>
      <c r="P910" t="s">
        <v>59</v>
      </c>
      <c r="Q910" t="s">
        <v>1049</v>
      </c>
      <c r="R910" t="s">
        <v>1751</v>
      </c>
      <c r="S910" s="1">
        <v>44447</v>
      </c>
      <c r="T910" s="1">
        <v>44453</v>
      </c>
      <c r="U910">
        <v>37501</v>
      </c>
      <c r="V910" t="s">
        <v>61</v>
      </c>
      <c r="W910" t="s">
        <v>1752</v>
      </c>
      <c r="X910" s="1">
        <v>44461</v>
      </c>
      <c r="Y910" t="s">
        <v>207</v>
      </c>
      <c r="Z910">
        <v>103.46</v>
      </c>
      <c r="AA910">
        <v>16</v>
      </c>
      <c r="AB910">
        <v>5.04</v>
      </c>
      <c r="AC910">
        <v>0</v>
      </c>
      <c r="AD910">
        <v>108.5</v>
      </c>
      <c r="AE910">
        <v>5821.85</v>
      </c>
      <c r="AF910">
        <v>7988</v>
      </c>
      <c r="AG910" t="s">
        <v>1723</v>
      </c>
      <c r="AH910" t="s">
        <v>65</v>
      </c>
      <c r="AI910" t="s">
        <v>65</v>
      </c>
      <c r="AJ910" t="s">
        <v>66</v>
      </c>
      <c r="AK910" t="s">
        <v>66</v>
      </c>
      <c r="AL910" t="s">
        <v>66</v>
      </c>
      <c r="AM910" s="2" t="str">
        <f>HYPERLINK("https://transparencia.cidesi.mx/comprobantes/2021/CQ2100860 /C3FACTURA_1632319106803_345470575.pdf")</f>
        <v>https://transparencia.cidesi.mx/comprobantes/2021/CQ2100860 /C3FACTURA_1632319106803_345470575.pdf</v>
      </c>
      <c r="AN910" t="str">
        <f>HYPERLINK("https://transparencia.cidesi.mx/comprobantes/2021/CQ2100860 /C3FACTURA_1632319106803_345470575.pdf")</f>
        <v>https://transparencia.cidesi.mx/comprobantes/2021/CQ2100860 /C3FACTURA_1632319106803_345470575.pdf</v>
      </c>
      <c r="AO910" t="str">
        <f>HYPERLINK("https://transparencia.cidesi.mx/comprobantes/2021/CQ2100860 /C3FACTURA_1632319106803_345470575.xml")</f>
        <v>https://transparencia.cidesi.mx/comprobantes/2021/CQ2100860 /C3FACTURA_1632319106803_345470575.xml</v>
      </c>
      <c r="AP910" t="s">
        <v>1753</v>
      </c>
      <c r="AQ910" t="s">
        <v>1754</v>
      </c>
      <c r="AR910" t="s">
        <v>1755</v>
      </c>
      <c r="AS910" t="s">
        <v>1756</v>
      </c>
      <c r="AT910" s="1">
        <v>44462</v>
      </c>
      <c r="AU910" t="s">
        <v>73</v>
      </c>
    </row>
    <row r="911" spans="1:47" x14ac:dyDescent="0.3">
      <c r="A911" t="s">
        <v>47</v>
      </c>
      <c r="B911" t="s">
        <v>224</v>
      </c>
      <c r="C911" t="s">
        <v>225</v>
      </c>
      <c r="D911">
        <v>9088</v>
      </c>
      <c r="E911" t="s">
        <v>1718</v>
      </c>
      <c r="F911" t="s">
        <v>912</v>
      </c>
      <c r="G911" t="s">
        <v>1719</v>
      </c>
      <c r="H911" t="s">
        <v>1750</v>
      </c>
      <c r="I911" t="s">
        <v>54</v>
      </c>
      <c r="J911" t="s">
        <v>1751</v>
      </c>
      <c r="K911" t="s">
        <v>56</v>
      </c>
      <c r="L911">
        <v>0</v>
      </c>
      <c r="M911" t="s">
        <v>73</v>
      </c>
      <c r="N911">
        <v>0</v>
      </c>
      <c r="O911" t="s">
        <v>58</v>
      </c>
      <c r="P911" t="s">
        <v>59</v>
      </c>
      <c r="Q911" t="s">
        <v>1049</v>
      </c>
      <c r="R911" t="s">
        <v>1751</v>
      </c>
      <c r="S911" s="1">
        <v>44447</v>
      </c>
      <c r="T911" s="1">
        <v>44453</v>
      </c>
      <c r="U911">
        <v>37501</v>
      </c>
      <c r="V911" t="s">
        <v>61</v>
      </c>
      <c r="W911" t="s">
        <v>1752</v>
      </c>
      <c r="X911" s="1">
        <v>44461</v>
      </c>
      <c r="Y911" t="s">
        <v>207</v>
      </c>
      <c r="Z911">
        <v>456.47</v>
      </c>
      <c r="AA911">
        <v>16</v>
      </c>
      <c r="AB911">
        <v>73.03</v>
      </c>
      <c r="AC911">
        <v>20</v>
      </c>
      <c r="AD911">
        <v>549.5</v>
      </c>
      <c r="AE911">
        <v>5821.85</v>
      </c>
      <c r="AF911">
        <v>7988</v>
      </c>
      <c r="AG911" t="s">
        <v>1723</v>
      </c>
      <c r="AH911" t="s">
        <v>65</v>
      </c>
      <c r="AI911" t="s">
        <v>65</v>
      </c>
      <c r="AJ911" t="s">
        <v>66</v>
      </c>
      <c r="AK911" t="s">
        <v>66</v>
      </c>
      <c r="AL911" t="s">
        <v>66</v>
      </c>
      <c r="AM911" s="2" t="str">
        <f>HYPERLINK("https://transparencia.cidesi.mx/comprobantes/2021/CQ2100860 /C4RORR791119M94_Factura__38341_57F0D8EA-781A-404B-9796-6AD7D4F33034 (1).pdf")</f>
        <v>https://transparencia.cidesi.mx/comprobantes/2021/CQ2100860 /C4RORR791119M94_Factura__38341_57F0D8EA-781A-404B-9796-6AD7D4F33034 (1).pdf</v>
      </c>
      <c r="AN911" t="str">
        <f>HYPERLINK("https://transparencia.cidesi.mx/comprobantes/2021/CQ2100860 /C4RORR791119M94_Factura__38341_57F0D8EA-781A-404B-9796-6AD7D4F33034 (1).pdf")</f>
        <v>https://transparencia.cidesi.mx/comprobantes/2021/CQ2100860 /C4RORR791119M94_Factura__38341_57F0D8EA-781A-404B-9796-6AD7D4F33034 (1).pdf</v>
      </c>
      <c r="AO911" t="str">
        <f>HYPERLINK("https://transparencia.cidesi.mx/comprobantes/2021/CQ2100860 /C4RORR791119M94_Factura__38341_57F0D8EA-781A-404B-9796-6AD7D4F33034.xml")</f>
        <v>https://transparencia.cidesi.mx/comprobantes/2021/CQ2100860 /C4RORR791119M94_Factura__38341_57F0D8EA-781A-404B-9796-6AD7D4F33034.xml</v>
      </c>
      <c r="AP911" t="s">
        <v>1753</v>
      </c>
      <c r="AQ911" t="s">
        <v>1754</v>
      </c>
      <c r="AR911" t="s">
        <v>1755</v>
      </c>
      <c r="AS911" t="s">
        <v>1756</v>
      </c>
      <c r="AT911" s="1">
        <v>44462</v>
      </c>
      <c r="AU911" t="s">
        <v>73</v>
      </c>
    </row>
    <row r="912" spans="1:47" x14ac:dyDescent="0.3">
      <c r="A912" t="s">
        <v>47</v>
      </c>
      <c r="B912" t="s">
        <v>224</v>
      </c>
      <c r="C912" t="s">
        <v>225</v>
      </c>
      <c r="D912">
        <v>9088</v>
      </c>
      <c r="E912" t="s">
        <v>1718</v>
      </c>
      <c r="F912" t="s">
        <v>912</v>
      </c>
      <c r="G912" t="s">
        <v>1719</v>
      </c>
      <c r="H912" t="s">
        <v>1750</v>
      </c>
      <c r="I912" t="s">
        <v>54</v>
      </c>
      <c r="J912" t="s">
        <v>1751</v>
      </c>
      <c r="K912" t="s">
        <v>56</v>
      </c>
      <c r="L912">
        <v>0</v>
      </c>
      <c r="M912" t="s">
        <v>73</v>
      </c>
      <c r="N912">
        <v>0</v>
      </c>
      <c r="O912" t="s">
        <v>58</v>
      </c>
      <c r="P912" t="s">
        <v>59</v>
      </c>
      <c r="Q912" t="s">
        <v>1049</v>
      </c>
      <c r="R912" t="s">
        <v>1751</v>
      </c>
      <c r="S912" s="1">
        <v>44447</v>
      </c>
      <c r="T912" s="1">
        <v>44453</v>
      </c>
      <c r="U912">
        <v>37501</v>
      </c>
      <c r="V912" t="s">
        <v>61</v>
      </c>
      <c r="W912" t="s">
        <v>1752</v>
      </c>
      <c r="X912" s="1">
        <v>44461</v>
      </c>
      <c r="Y912" t="s">
        <v>207</v>
      </c>
      <c r="Z912">
        <v>351.72</v>
      </c>
      <c r="AA912">
        <v>16</v>
      </c>
      <c r="AB912">
        <v>56.28</v>
      </c>
      <c r="AC912">
        <v>25</v>
      </c>
      <c r="AD912">
        <v>433</v>
      </c>
      <c r="AE912">
        <v>5821.85</v>
      </c>
      <c r="AF912">
        <v>7988</v>
      </c>
      <c r="AG912" t="s">
        <v>1723</v>
      </c>
      <c r="AH912" t="s">
        <v>65</v>
      </c>
      <c r="AI912" t="s">
        <v>65</v>
      </c>
      <c r="AJ912" t="s">
        <v>66</v>
      </c>
      <c r="AK912" t="s">
        <v>66</v>
      </c>
      <c r="AL912" t="s">
        <v>66</v>
      </c>
      <c r="AM912" s="2" t="str">
        <f>HYPERLINK("https://transparencia.cidesi.mx/comprobantes/2021/CQ2100860 /C5RORR791119M94_Factura__38224_63BB9649-C5B1-4405-9BD6-BCA7B8FDEB47.pdf")</f>
        <v>https://transparencia.cidesi.mx/comprobantes/2021/CQ2100860 /C5RORR791119M94_Factura__38224_63BB9649-C5B1-4405-9BD6-BCA7B8FDEB47.pdf</v>
      </c>
      <c r="AN912" t="str">
        <f>HYPERLINK("https://transparencia.cidesi.mx/comprobantes/2021/CQ2100860 /C5RORR791119M94_Factura__38224_63BB9649-C5B1-4405-9BD6-BCA7B8FDEB47.pdf")</f>
        <v>https://transparencia.cidesi.mx/comprobantes/2021/CQ2100860 /C5RORR791119M94_Factura__38224_63BB9649-C5B1-4405-9BD6-BCA7B8FDEB47.pdf</v>
      </c>
      <c r="AO912" t="str">
        <f>HYPERLINK("https://transparencia.cidesi.mx/comprobantes/2021/CQ2100860 /C5RORR791119M94_Factura__38224_63BB9649-C5B1-4405-9BD6-BCA7B8FDEB47.xml")</f>
        <v>https://transparencia.cidesi.mx/comprobantes/2021/CQ2100860 /C5RORR791119M94_Factura__38224_63BB9649-C5B1-4405-9BD6-BCA7B8FDEB47.xml</v>
      </c>
      <c r="AP912" t="s">
        <v>1753</v>
      </c>
      <c r="AQ912" t="s">
        <v>1754</v>
      </c>
      <c r="AR912" t="s">
        <v>1755</v>
      </c>
      <c r="AS912" t="s">
        <v>1756</v>
      </c>
      <c r="AT912" s="1">
        <v>44462</v>
      </c>
      <c r="AU912" t="s">
        <v>73</v>
      </c>
    </row>
    <row r="913" spans="1:47" x14ac:dyDescent="0.3">
      <c r="A913" t="s">
        <v>47</v>
      </c>
      <c r="B913" t="s">
        <v>224</v>
      </c>
      <c r="C913" t="s">
        <v>225</v>
      </c>
      <c r="D913">
        <v>9088</v>
      </c>
      <c r="E913" t="s">
        <v>1718</v>
      </c>
      <c r="F913" t="s">
        <v>912</v>
      </c>
      <c r="G913" t="s">
        <v>1719</v>
      </c>
      <c r="H913" t="s">
        <v>1750</v>
      </c>
      <c r="I913" t="s">
        <v>54</v>
      </c>
      <c r="J913" t="s">
        <v>1751</v>
      </c>
      <c r="K913" t="s">
        <v>56</v>
      </c>
      <c r="L913">
        <v>0</v>
      </c>
      <c r="M913" t="s">
        <v>73</v>
      </c>
      <c r="N913">
        <v>0</v>
      </c>
      <c r="O913" t="s">
        <v>58</v>
      </c>
      <c r="P913" t="s">
        <v>59</v>
      </c>
      <c r="Q913" t="s">
        <v>1049</v>
      </c>
      <c r="R913" t="s">
        <v>1751</v>
      </c>
      <c r="S913" s="1">
        <v>44447</v>
      </c>
      <c r="T913" s="1">
        <v>44453</v>
      </c>
      <c r="U913">
        <v>37501</v>
      </c>
      <c r="V913" t="s">
        <v>61</v>
      </c>
      <c r="W913" t="s">
        <v>1752</v>
      </c>
      <c r="X913" s="1">
        <v>44461</v>
      </c>
      <c r="Y913" t="s">
        <v>207</v>
      </c>
      <c r="Z913">
        <v>267.24</v>
      </c>
      <c r="AA913">
        <v>16</v>
      </c>
      <c r="AB913">
        <v>42.76</v>
      </c>
      <c r="AC913">
        <v>0</v>
      </c>
      <c r="AD913">
        <v>310</v>
      </c>
      <c r="AE913">
        <v>5821.85</v>
      </c>
      <c r="AF913">
        <v>7988</v>
      </c>
      <c r="AG913" t="s">
        <v>1723</v>
      </c>
      <c r="AH913" t="s">
        <v>65</v>
      </c>
      <c r="AI913" t="s">
        <v>65</v>
      </c>
      <c r="AJ913" t="s">
        <v>66</v>
      </c>
      <c r="AK913" t="s">
        <v>66</v>
      </c>
      <c r="AL913" t="s">
        <v>66</v>
      </c>
      <c r="AM913" s="2" t="str">
        <f>HYPERLINK("https://transparencia.cidesi.mx/comprobantes/2021/CQ2100860 /C6aaa11f06-273c-41ec-9550-5a03355e0519.pdf")</f>
        <v>https://transparencia.cidesi.mx/comprobantes/2021/CQ2100860 /C6aaa11f06-273c-41ec-9550-5a03355e0519.pdf</v>
      </c>
      <c r="AN913" t="str">
        <f>HYPERLINK("https://transparencia.cidesi.mx/comprobantes/2021/CQ2100860 /C6aaa11f06-273c-41ec-9550-5a03355e0519.pdf")</f>
        <v>https://transparencia.cidesi.mx/comprobantes/2021/CQ2100860 /C6aaa11f06-273c-41ec-9550-5a03355e0519.pdf</v>
      </c>
      <c r="AO913" t="str">
        <f>HYPERLINK("https://transparencia.cidesi.mx/comprobantes/2021/CQ2100860 /C6aaa11f06-273c-41ec-9550-5a03355e0519.xml")</f>
        <v>https://transparencia.cidesi.mx/comprobantes/2021/CQ2100860 /C6aaa11f06-273c-41ec-9550-5a03355e0519.xml</v>
      </c>
      <c r="AP913" t="s">
        <v>1753</v>
      </c>
      <c r="AQ913" t="s">
        <v>1754</v>
      </c>
      <c r="AR913" t="s">
        <v>1755</v>
      </c>
      <c r="AS913" t="s">
        <v>1756</v>
      </c>
      <c r="AT913" s="1">
        <v>44462</v>
      </c>
      <c r="AU913" t="s">
        <v>73</v>
      </c>
    </row>
    <row r="914" spans="1:47" x14ac:dyDescent="0.3">
      <c r="A914" t="s">
        <v>47</v>
      </c>
      <c r="B914" t="s">
        <v>224</v>
      </c>
      <c r="C914" t="s">
        <v>225</v>
      </c>
      <c r="D914">
        <v>9088</v>
      </c>
      <c r="E914" t="s">
        <v>1718</v>
      </c>
      <c r="F914" t="s">
        <v>912</v>
      </c>
      <c r="G914" t="s">
        <v>1719</v>
      </c>
      <c r="H914" t="s">
        <v>1750</v>
      </c>
      <c r="I914" t="s">
        <v>54</v>
      </c>
      <c r="J914" t="s">
        <v>1751</v>
      </c>
      <c r="K914" t="s">
        <v>56</v>
      </c>
      <c r="L914">
        <v>0</v>
      </c>
      <c r="M914" t="s">
        <v>73</v>
      </c>
      <c r="N914">
        <v>0</v>
      </c>
      <c r="O914" t="s">
        <v>58</v>
      </c>
      <c r="P914" t="s">
        <v>59</v>
      </c>
      <c r="Q914" t="s">
        <v>1049</v>
      </c>
      <c r="R914" t="s">
        <v>1751</v>
      </c>
      <c r="S914" s="1">
        <v>44447</v>
      </c>
      <c r="T914" s="1">
        <v>44453</v>
      </c>
      <c r="U914">
        <v>37501</v>
      </c>
      <c r="V914" t="s">
        <v>61</v>
      </c>
      <c r="W914" t="s">
        <v>1752</v>
      </c>
      <c r="X914" s="1">
        <v>44461</v>
      </c>
      <c r="Y914" t="s">
        <v>207</v>
      </c>
      <c r="Z914">
        <v>428.88</v>
      </c>
      <c r="AA914">
        <v>16</v>
      </c>
      <c r="AB914">
        <v>68.62</v>
      </c>
      <c r="AC914">
        <v>49.75</v>
      </c>
      <c r="AD914">
        <v>547.25</v>
      </c>
      <c r="AE914">
        <v>5821.85</v>
      </c>
      <c r="AF914">
        <v>7988</v>
      </c>
      <c r="AG914" t="s">
        <v>1723</v>
      </c>
      <c r="AH914" t="s">
        <v>65</v>
      </c>
      <c r="AI914" t="s">
        <v>65</v>
      </c>
      <c r="AJ914" t="s">
        <v>66</v>
      </c>
      <c r="AK914" t="s">
        <v>66</v>
      </c>
      <c r="AL914" t="s">
        <v>66</v>
      </c>
      <c r="AM914" s="2" t="str">
        <f>HYPERLINK("https://transparencia.cidesi.mx/comprobantes/2021/CQ2100860 /C7FACTURAC22227.pdf")</f>
        <v>https://transparencia.cidesi.mx/comprobantes/2021/CQ2100860 /C7FACTURAC22227.pdf</v>
      </c>
      <c r="AN914" t="str">
        <f>HYPERLINK("https://transparencia.cidesi.mx/comprobantes/2021/CQ2100860 /C7FACTURAC22227.pdf")</f>
        <v>https://transparencia.cidesi.mx/comprobantes/2021/CQ2100860 /C7FACTURAC22227.pdf</v>
      </c>
      <c r="AO914" t="str">
        <f>HYPERLINK("https://transparencia.cidesi.mx/comprobantes/2021/CQ2100860 /C7FACTURAC22227.xml")</f>
        <v>https://transparencia.cidesi.mx/comprobantes/2021/CQ2100860 /C7FACTURAC22227.xml</v>
      </c>
      <c r="AP914" t="s">
        <v>1753</v>
      </c>
      <c r="AQ914" t="s">
        <v>1754</v>
      </c>
      <c r="AR914" t="s">
        <v>1755</v>
      </c>
      <c r="AS914" t="s">
        <v>1756</v>
      </c>
      <c r="AT914" s="1">
        <v>44462</v>
      </c>
      <c r="AU914" t="s">
        <v>73</v>
      </c>
    </row>
    <row r="915" spans="1:47" x14ac:dyDescent="0.3">
      <c r="A915" t="s">
        <v>47</v>
      </c>
      <c r="B915" t="s">
        <v>224</v>
      </c>
      <c r="C915" t="s">
        <v>225</v>
      </c>
      <c r="D915">
        <v>9088</v>
      </c>
      <c r="E915" t="s">
        <v>1718</v>
      </c>
      <c r="F915" t="s">
        <v>912</v>
      </c>
      <c r="G915" t="s">
        <v>1719</v>
      </c>
      <c r="H915" t="s">
        <v>1750</v>
      </c>
      <c r="I915" t="s">
        <v>54</v>
      </c>
      <c r="J915" t="s">
        <v>1751</v>
      </c>
      <c r="K915" t="s">
        <v>56</v>
      </c>
      <c r="L915">
        <v>0</v>
      </c>
      <c r="M915" t="s">
        <v>73</v>
      </c>
      <c r="N915">
        <v>0</v>
      </c>
      <c r="O915" t="s">
        <v>58</v>
      </c>
      <c r="P915" t="s">
        <v>59</v>
      </c>
      <c r="Q915" t="s">
        <v>1049</v>
      </c>
      <c r="R915" t="s">
        <v>1751</v>
      </c>
      <c r="S915" s="1">
        <v>44447</v>
      </c>
      <c r="T915" s="1">
        <v>44453</v>
      </c>
      <c r="U915">
        <v>37501</v>
      </c>
      <c r="V915" t="s">
        <v>61</v>
      </c>
      <c r="W915" t="s">
        <v>1752</v>
      </c>
      <c r="X915" s="1">
        <v>44461</v>
      </c>
      <c r="Y915" t="s">
        <v>207</v>
      </c>
      <c r="Z915">
        <v>181.9</v>
      </c>
      <c r="AA915">
        <v>16</v>
      </c>
      <c r="AB915">
        <v>29.1</v>
      </c>
      <c r="AC915">
        <v>21.1</v>
      </c>
      <c r="AD915">
        <v>232.1</v>
      </c>
      <c r="AE915">
        <v>5821.85</v>
      </c>
      <c r="AF915">
        <v>7988</v>
      </c>
      <c r="AG915" t="s">
        <v>1723</v>
      </c>
      <c r="AH915" t="s">
        <v>65</v>
      </c>
      <c r="AI915" t="s">
        <v>65</v>
      </c>
      <c r="AJ915" t="s">
        <v>66</v>
      </c>
      <c r="AK915" t="s">
        <v>66</v>
      </c>
      <c r="AL915" t="s">
        <v>66</v>
      </c>
      <c r="AM915" s="2" t="str">
        <f>HYPERLINK("https://transparencia.cidesi.mx/comprobantes/2021/CQ2100860 /C81TIWEBDF000006570178.pdf")</f>
        <v>https://transparencia.cidesi.mx/comprobantes/2021/CQ2100860 /C81TIWEBDF000006570178.pdf</v>
      </c>
      <c r="AN915" t="str">
        <f>HYPERLINK("https://transparencia.cidesi.mx/comprobantes/2021/CQ2100860 /C81TIWEBDF000006570178.pdf")</f>
        <v>https://transparencia.cidesi.mx/comprobantes/2021/CQ2100860 /C81TIWEBDF000006570178.pdf</v>
      </c>
      <c r="AO915" t="str">
        <f>HYPERLINK("https://transparencia.cidesi.mx/comprobantes/2021/CQ2100860 /C81TIWEBDF000006570178.xml")</f>
        <v>https://transparencia.cidesi.mx/comprobantes/2021/CQ2100860 /C81TIWEBDF000006570178.xml</v>
      </c>
      <c r="AP915" t="s">
        <v>1753</v>
      </c>
      <c r="AQ915" t="s">
        <v>1754</v>
      </c>
      <c r="AR915" t="s">
        <v>1755</v>
      </c>
      <c r="AS915" t="s">
        <v>1756</v>
      </c>
      <c r="AT915" s="1">
        <v>44462</v>
      </c>
      <c r="AU915" t="s">
        <v>73</v>
      </c>
    </row>
    <row r="916" spans="1:47" x14ac:dyDescent="0.3">
      <c r="A916" t="s">
        <v>47</v>
      </c>
      <c r="B916" t="s">
        <v>224</v>
      </c>
      <c r="C916" t="s">
        <v>225</v>
      </c>
      <c r="D916">
        <v>9088</v>
      </c>
      <c r="E916" t="s">
        <v>1718</v>
      </c>
      <c r="F916" t="s">
        <v>912</v>
      </c>
      <c r="G916" t="s">
        <v>1719</v>
      </c>
      <c r="H916" t="s">
        <v>1750</v>
      </c>
      <c r="I916" t="s">
        <v>54</v>
      </c>
      <c r="J916" t="s">
        <v>1751</v>
      </c>
      <c r="K916" t="s">
        <v>56</v>
      </c>
      <c r="L916">
        <v>0</v>
      </c>
      <c r="M916" t="s">
        <v>73</v>
      </c>
      <c r="N916">
        <v>0</v>
      </c>
      <c r="O916" t="s">
        <v>58</v>
      </c>
      <c r="P916" t="s">
        <v>59</v>
      </c>
      <c r="Q916" t="s">
        <v>1049</v>
      </c>
      <c r="R916" t="s">
        <v>1751</v>
      </c>
      <c r="S916" s="1">
        <v>44447</v>
      </c>
      <c r="T916" s="1">
        <v>44453</v>
      </c>
      <c r="U916">
        <v>37501</v>
      </c>
      <c r="V916" t="s">
        <v>61</v>
      </c>
      <c r="W916" t="s">
        <v>1752</v>
      </c>
      <c r="X916" s="1">
        <v>44461</v>
      </c>
      <c r="Y916" t="s">
        <v>207</v>
      </c>
      <c r="Z916">
        <v>99.34</v>
      </c>
      <c r="AA916">
        <v>16</v>
      </c>
      <c r="AB916">
        <v>7.66</v>
      </c>
      <c r="AC916">
        <v>0</v>
      </c>
      <c r="AD916">
        <v>107</v>
      </c>
      <c r="AE916">
        <v>5821.85</v>
      </c>
      <c r="AF916">
        <v>7988</v>
      </c>
      <c r="AG916" t="s">
        <v>1723</v>
      </c>
      <c r="AH916" t="s">
        <v>65</v>
      </c>
      <c r="AI916" t="s">
        <v>65</v>
      </c>
      <c r="AJ916" t="s">
        <v>66</v>
      </c>
      <c r="AK916" t="s">
        <v>66</v>
      </c>
      <c r="AL916" t="s">
        <v>66</v>
      </c>
      <c r="AM916" s="2" t="str">
        <f>HYPERLINK("https://transparencia.cidesi.mx/comprobantes/2021/CQ2100860 /C9FACTURA_1632318940253_345470217.pdf")</f>
        <v>https://transparencia.cidesi.mx/comprobantes/2021/CQ2100860 /C9FACTURA_1632318940253_345470217.pdf</v>
      </c>
      <c r="AN916" t="str">
        <f>HYPERLINK("https://transparencia.cidesi.mx/comprobantes/2021/CQ2100860 /C9FACTURA_1632318940253_345470217.pdf")</f>
        <v>https://transparencia.cidesi.mx/comprobantes/2021/CQ2100860 /C9FACTURA_1632318940253_345470217.pdf</v>
      </c>
      <c r="AO916" t="str">
        <f>HYPERLINK("https://transparencia.cidesi.mx/comprobantes/2021/CQ2100860 /C9FACTURA_1632318940253_345470217.xml")</f>
        <v>https://transparencia.cidesi.mx/comprobantes/2021/CQ2100860 /C9FACTURA_1632318940253_345470217.xml</v>
      </c>
      <c r="AP916" t="s">
        <v>1753</v>
      </c>
      <c r="AQ916" t="s">
        <v>1754</v>
      </c>
      <c r="AR916" t="s">
        <v>1755</v>
      </c>
      <c r="AS916" t="s">
        <v>1756</v>
      </c>
      <c r="AT916" s="1">
        <v>44462</v>
      </c>
      <c r="AU916" t="s">
        <v>73</v>
      </c>
    </row>
    <row r="917" spans="1:47" x14ac:dyDescent="0.3">
      <c r="A917" t="s">
        <v>47</v>
      </c>
      <c r="B917" t="s">
        <v>224</v>
      </c>
      <c r="C917" t="s">
        <v>225</v>
      </c>
      <c r="D917">
        <v>9088</v>
      </c>
      <c r="E917" t="s">
        <v>1718</v>
      </c>
      <c r="F917" t="s">
        <v>912</v>
      </c>
      <c r="G917" t="s">
        <v>1719</v>
      </c>
      <c r="H917" t="s">
        <v>1750</v>
      </c>
      <c r="I917" t="s">
        <v>54</v>
      </c>
      <c r="J917" t="s">
        <v>1751</v>
      </c>
      <c r="K917" t="s">
        <v>56</v>
      </c>
      <c r="L917">
        <v>0</v>
      </c>
      <c r="M917" t="s">
        <v>73</v>
      </c>
      <c r="N917">
        <v>0</v>
      </c>
      <c r="O917" t="s">
        <v>58</v>
      </c>
      <c r="P917" t="s">
        <v>59</v>
      </c>
      <c r="Q917" t="s">
        <v>1049</v>
      </c>
      <c r="R917" t="s">
        <v>1751</v>
      </c>
      <c r="S917" s="1">
        <v>44447</v>
      </c>
      <c r="T917" s="1">
        <v>44453</v>
      </c>
      <c r="U917">
        <v>37501</v>
      </c>
      <c r="V917" t="s">
        <v>61</v>
      </c>
      <c r="W917" t="s">
        <v>1752</v>
      </c>
      <c r="X917" s="1">
        <v>44461</v>
      </c>
      <c r="Y917" t="s">
        <v>207</v>
      </c>
      <c r="Z917">
        <v>216.38</v>
      </c>
      <c r="AA917">
        <v>16</v>
      </c>
      <c r="AB917">
        <v>34.619999999999997</v>
      </c>
      <c r="AC917">
        <v>25.1</v>
      </c>
      <c r="AD917">
        <v>276.10000000000002</v>
      </c>
      <c r="AE917">
        <v>5821.85</v>
      </c>
      <c r="AF917">
        <v>7988</v>
      </c>
      <c r="AG917" t="s">
        <v>1723</v>
      </c>
      <c r="AH917" t="s">
        <v>65</v>
      </c>
      <c r="AI917" t="s">
        <v>65</v>
      </c>
      <c r="AJ917" t="s">
        <v>66</v>
      </c>
      <c r="AK917" t="s">
        <v>66</v>
      </c>
      <c r="AL917" t="s">
        <v>66</v>
      </c>
      <c r="AM917" s="2" t="str">
        <f>HYPERLINK("https://transparencia.cidesi.mx/comprobantes/2021/CQ2100860 /C11SABE6204023D7_Factura__2057_42A7086F-6844-46FF-8941-D40E4AC2A72F.pdf")</f>
        <v>https://transparencia.cidesi.mx/comprobantes/2021/CQ2100860 /C11SABE6204023D7_Factura__2057_42A7086F-6844-46FF-8941-D40E4AC2A72F.pdf</v>
      </c>
      <c r="AN917" t="str">
        <f>HYPERLINK("https://transparencia.cidesi.mx/comprobantes/2021/CQ2100860 /C11SABE6204023D7_Factura__2057_42A7086F-6844-46FF-8941-D40E4AC2A72F.pdf")</f>
        <v>https://transparencia.cidesi.mx/comprobantes/2021/CQ2100860 /C11SABE6204023D7_Factura__2057_42A7086F-6844-46FF-8941-D40E4AC2A72F.pdf</v>
      </c>
      <c r="AO917" t="str">
        <f>HYPERLINK("https://transparencia.cidesi.mx/comprobantes/2021/CQ2100860 /C11SABE6204023D7_Factura__2057_42A7086F-6844-46FF-8941-D40E4AC2A72F.xml")</f>
        <v>https://transparencia.cidesi.mx/comprobantes/2021/CQ2100860 /C11SABE6204023D7_Factura__2057_42A7086F-6844-46FF-8941-D40E4AC2A72F.xml</v>
      </c>
      <c r="AP917" t="s">
        <v>1753</v>
      </c>
      <c r="AQ917" t="s">
        <v>1754</v>
      </c>
      <c r="AR917" t="s">
        <v>1755</v>
      </c>
      <c r="AS917" t="s">
        <v>1756</v>
      </c>
      <c r="AT917" s="1">
        <v>44462</v>
      </c>
      <c r="AU917" t="s">
        <v>73</v>
      </c>
    </row>
    <row r="918" spans="1:47" x14ac:dyDescent="0.3">
      <c r="A918" t="s">
        <v>47</v>
      </c>
      <c r="B918" t="s">
        <v>224</v>
      </c>
      <c r="C918" t="s">
        <v>225</v>
      </c>
      <c r="D918">
        <v>9088</v>
      </c>
      <c r="E918" t="s">
        <v>1718</v>
      </c>
      <c r="F918" t="s">
        <v>912</v>
      </c>
      <c r="G918" t="s">
        <v>1719</v>
      </c>
      <c r="H918" t="s">
        <v>1750</v>
      </c>
      <c r="I918" t="s">
        <v>54</v>
      </c>
      <c r="J918" t="s">
        <v>1751</v>
      </c>
      <c r="K918" t="s">
        <v>56</v>
      </c>
      <c r="L918">
        <v>0</v>
      </c>
      <c r="M918" t="s">
        <v>73</v>
      </c>
      <c r="N918">
        <v>0</v>
      </c>
      <c r="O918" t="s">
        <v>58</v>
      </c>
      <c r="P918" t="s">
        <v>59</v>
      </c>
      <c r="Q918" t="s">
        <v>1049</v>
      </c>
      <c r="R918" t="s">
        <v>1751</v>
      </c>
      <c r="S918" s="1">
        <v>44447</v>
      </c>
      <c r="T918" s="1">
        <v>44453</v>
      </c>
      <c r="U918">
        <v>37501</v>
      </c>
      <c r="V918" t="s">
        <v>61</v>
      </c>
      <c r="W918" t="s">
        <v>1752</v>
      </c>
      <c r="X918" s="1">
        <v>44461</v>
      </c>
      <c r="Y918" t="s">
        <v>207</v>
      </c>
      <c r="Z918">
        <v>71.489999999999995</v>
      </c>
      <c r="AA918">
        <v>16</v>
      </c>
      <c r="AB918">
        <v>0.01</v>
      </c>
      <c r="AC918">
        <v>0</v>
      </c>
      <c r="AD918">
        <v>71.5</v>
      </c>
      <c r="AE918">
        <v>5821.85</v>
      </c>
      <c r="AF918">
        <v>7988</v>
      </c>
      <c r="AG918" t="s">
        <v>1723</v>
      </c>
      <c r="AH918" t="s">
        <v>65</v>
      </c>
      <c r="AI918" t="s">
        <v>65</v>
      </c>
      <c r="AJ918" t="s">
        <v>66</v>
      </c>
      <c r="AK918" t="s">
        <v>66</v>
      </c>
      <c r="AL918" t="s">
        <v>66</v>
      </c>
      <c r="AM918" s="2" t="str">
        <f>HYPERLINK("https://transparencia.cidesi.mx/comprobantes/2021/CQ2100860 /C12FACTURA_1631730697629_344820541.pdf")</f>
        <v>https://transparencia.cidesi.mx/comprobantes/2021/CQ2100860 /C12FACTURA_1631730697629_344820541.pdf</v>
      </c>
      <c r="AN918" t="str">
        <f>HYPERLINK("https://transparencia.cidesi.mx/comprobantes/2021/CQ2100860 /C12FACTURA_1631730697629_344820541.pdf")</f>
        <v>https://transparencia.cidesi.mx/comprobantes/2021/CQ2100860 /C12FACTURA_1631730697629_344820541.pdf</v>
      </c>
      <c r="AO918" t="str">
        <f>HYPERLINK("https://transparencia.cidesi.mx/comprobantes/2021/CQ2100860 /C12FACTURA_1631730697629_344820541.xml")</f>
        <v>https://transparencia.cidesi.mx/comprobantes/2021/CQ2100860 /C12FACTURA_1631730697629_344820541.xml</v>
      </c>
      <c r="AP918" t="s">
        <v>1753</v>
      </c>
      <c r="AQ918" t="s">
        <v>1754</v>
      </c>
      <c r="AR918" t="s">
        <v>1755</v>
      </c>
      <c r="AS918" t="s">
        <v>1756</v>
      </c>
      <c r="AT918" s="1">
        <v>44462</v>
      </c>
      <c r="AU918" t="s">
        <v>73</v>
      </c>
    </row>
    <row r="919" spans="1:47" x14ac:dyDescent="0.3">
      <c r="A919" t="s">
        <v>47</v>
      </c>
      <c r="B919" t="s">
        <v>224</v>
      </c>
      <c r="C919" t="s">
        <v>225</v>
      </c>
      <c r="D919">
        <v>9088</v>
      </c>
      <c r="E919" t="s">
        <v>1718</v>
      </c>
      <c r="F919" t="s">
        <v>912</v>
      </c>
      <c r="G919" t="s">
        <v>1719</v>
      </c>
      <c r="H919" t="s">
        <v>1750</v>
      </c>
      <c r="I919" t="s">
        <v>54</v>
      </c>
      <c r="J919" t="s">
        <v>1751</v>
      </c>
      <c r="K919" t="s">
        <v>56</v>
      </c>
      <c r="L919">
        <v>0</v>
      </c>
      <c r="M919" t="s">
        <v>73</v>
      </c>
      <c r="N919">
        <v>0</v>
      </c>
      <c r="O919" t="s">
        <v>58</v>
      </c>
      <c r="P919" t="s">
        <v>59</v>
      </c>
      <c r="Q919" t="s">
        <v>1049</v>
      </c>
      <c r="R919" t="s">
        <v>1751</v>
      </c>
      <c r="S919" s="1">
        <v>44447</v>
      </c>
      <c r="T919" s="1">
        <v>44453</v>
      </c>
      <c r="U919">
        <v>37501</v>
      </c>
      <c r="V919" t="s">
        <v>61</v>
      </c>
      <c r="W919" t="s">
        <v>1752</v>
      </c>
      <c r="X919" s="1">
        <v>44461</v>
      </c>
      <c r="Y919" t="s">
        <v>207</v>
      </c>
      <c r="Z919">
        <v>145.69</v>
      </c>
      <c r="AA919">
        <v>16</v>
      </c>
      <c r="AB919">
        <v>23.31</v>
      </c>
      <c r="AC919">
        <v>16.899999999999999</v>
      </c>
      <c r="AD919">
        <v>185.9</v>
      </c>
      <c r="AE919">
        <v>5821.85</v>
      </c>
      <c r="AF919">
        <v>7988</v>
      </c>
      <c r="AG919" t="s">
        <v>1723</v>
      </c>
      <c r="AH919" t="s">
        <v>65</v>
      </c>
      <c r="AI919" t="s">
        <v>65</v>
      </c>
      <c r="AJ919" t="s">
        <v>66</v>
      </c>
      <c r="AK919" t="s">
        <v>66</v>
      </c>
      <c r="AL919" t="s">
        <v>66</v>
      </c>
      <c r="AM919" s="2" t="str">
        <f>HYPERLINK("https://transparencia.cidesi.mx/comprobantes/2021/CQ2100860 /C131TIWEBDF000006570145.pdf")</f>
        <v>https://transparencia.cidesi.mx/comprobantes/2021/CQ2100860 /C131TIWEBDF000006570145.pdf</v>
      </c>
      <c r="AN919" t="str">
        <f>HYPERLINK("https://transparencia.cidesi.mx/comprobantes/2021/CQ2100860 /C131TIWEBDF000006570145.pdf")</f>
        <v>https://transparencia.cidesi.mx/comprobantes/2021/CQ2100860 /C131TIWEBDF000006570145.pdf</v>
      </c>
      <c r="AO919" t="str">
        <f>HYPERLINK("https://transparencia.cidesi.mx/comprobantes/2021/CQ2100860 /C131TIWEBDF000006570145.xml")</f>
        <v>https://transparencia.cidesi.mx/comprobantes/2021/CQ2100860 /C131TIWEBDF000006570145.xml</v>
      </c>
      <c r="AP919" t="s">
        <v>1753</v>
      </c>
      <c r="AQ919" t="s">
        <v>1754</v>
      </c>
      <c r="AR919" t="s">
        <v>1755</v>
      </c>
      <c r="AS919" t="s">
        <v>1756</v>
      </c>
      <c r="AT919" s="1">
        <v>44462</v>
      </c>
      <c r="AU919" t="s">
        <v>73</v>
      </c>
    </row>
    <row r="920" spans="1:47" x14ac:dyDescent="0.3">
      <c r="A920" t="s">
        <v>47</v>
      </c>
      <c r="B920" t="s">
        <v>224</v>
      </c>
      <c r="C920" t="s">
        <v>225</v>
      </c>
      <c r="D920">
        <v>9088</v>
      </c>
      <c r="E920" t="s">
        <v>1718</v>
      </c>
      <c r="F920" t="s">
        <v>912</v>
      </c>
      <c r="G920" t="s">
        <v>1719</v>
      </c>
      <c r="H920" t="s">
        <v>1750</v>
      </c>
      <c r="I920" t="s">
        <v>54</v>
      </c>
      <c r="J920" t="s">
        <v>1751</v>
      </c>
      <c r="K920" t="s">
        <v>56</v>
      </c>
      <c r="L920">
        <v>0</v>
      </c>
      <c r="M920" t="s">
        <v>73</v>
      </c>
      <c r="N920">
        <v>0</v>
      </c>
      <c r="O920" t="s">
        <v>58</v>
      </c>
      <c r="P920" t="s">
        <v>59</v>
      </c>
      <c r="Q920" t="s">
        <v>1049</v>
      </c>
      <c r="R920" t="s">
        <v>1751</v>
      </c>
      <c r="S920" s="1">
        <v>44447</v>
      </c>
      <c r="T920" s="1">
        <v>44453</v>
      </c>
      <c r="U920">
        <v>37501</v>
      </c>
      <c r="V920" t="s">
        <v>61</v>
      </c>
      <c r="W920" t="s">
        <v>1752</v>
      </c>
      <c r="X920" s="1">
        <v>44461</v>
      </c>
      <c r="Y920" t="s">
        <v>207</v>
      </c>
      <c r="Z920">
        <v>88.99</v>
      </c>
      <c r="AA920">
        <v>16</v>
      </c>
      <c r="AB920">
        <v>0.01</v>
      </c>
      <c r="AC920">
        <v>0</v>
      </c>
      <c r="AD920">
        <v>89</v>
      </c>
      <c r="AE920">
        <v>5821.85</v>
      </c>
      <c r="AF920">
        <v>7988</v>
      </c>
      <c r="AG920" t="s">
        <v>1723</v>
      </c>
      <c r="AH920" t="s">
        <v>65</v>
      </c>
      <c r="AI920" t="s">
        <v>65</v>
      </c>
      <c r="AJ920" t="s">
        <v>66</v>
      </c>
      <c r="AK920" t="s">
        <v>66</v>
      </c>
      <c r="AL920" t="s">
        <v>66</v>
      </c>
      <c r="AM920" s="2" t="str">
        <f>HYPERLINK("https://transparencia.cidesi.mx/comprobantes/2021/CQ2100860 /C14FACTURA_1631729836568_344818353.pdf")</f>
        <v>https://transparencia.cidesi.mx/comprobantes/2021/CQ2100860 /C14FACTURA_1631729836568_344818353.pdf</v>
      </c>
      <c r="AN920" t="str">
        <f>HYPERLINK("https://transparencia.cidesi.mx/comprobantes/2021/CQ2100860 /C14FACTURA_1631729836568_344818353.pdf")</f>
        <v>https://transparencia.cidesi.mx/comprobantes/2021/CQ2100860 /C14FACTURA_1631729836568_344818353.pdf</v>
      </c>
      <c r="AO920" t="str">
        <f>HYPERLINK("https://transparencia.cidesi.mx/comprobantes/2021/CQ2100860 /C14FACTURA_1631729836568_344818353.xml")</f>
        <v>https://transparencia.cidesi.mx/comprobantes/2021/CQ2100860 /C14FACTURA_1631729836568_344818353.xml</v>
      </c>
      <c r="AP920" t="s">
        <v>1753</v>
      </c>
      <c r="AQ920" t="s">
        <v>1754</v>
      </c>
      <c r="AR920" t="s">
        <v>1755</v>
      </c>
      <c r="AS920" t="s">
        <v>1756</v>
      </c>
      <c r="AT920" s="1">
        <v>44462</v>
      </c>
      <c r="AU920" t="s">
        <v>73</v>
      </c>
    </row>
    <row r="921" spans="1:47" x14ac:dyDescent="0.3">
      <c r="A921" t="s">
        <v>47</v>
      </c>
      <c r="B921" t="s">
        <v>224</v>
      </c>
      <c r="C921" t="s">
        <v>225</v>
      </c>
      <c r="D921">
        <v>9088</v>
      </c>
      <c r="E921" t="s">
        <v>1718</v>
      </c>
      <c r="F921" t="s">
        <v>912</v>
      </c>
      <c r="G921" t="s">
        <v>1719</v>
      </c>
      <c r="H921" t="s">
        <v>1750</v>
      </c>
      <c r="I921" t="s">
        <v>54</v>
      </c>
      <c r="J921" t="s">
        <v>1751</v>
      </c>
      <c r="K921" t="s">
        <v>56</v>
      </c>
      <c r="L921">
        <v>0</v>
      </c>
      <c r="M921" t="s">
        <v>73</v>
      </c>
      <c r="N921">
        <v>0</v>
      </c>
      <c r="O921" t="s">
        <v>58</v>
      </c>
      <c r="P921" t="s">
        <v>59</v>
      </c>
      <c r="Q921" t="s">
        <v>1049</v>
      </c>
      <c r="R921" t="s">
        <v>1751</v>
      </c>
      <c r="S921" s="1">
        <v>44447</v>
      </c>
      <c r="T921" s="1">
        <v>44453</v>
      </c>
      <c r="U921">
        <v>37501</v>
      </c>
      <c r="V921" t="s">
        <v>61</v>
      </c>
      <c r="W921" t="s">
        <v>1752</v>
      </c>
      <c r="X921" s="1">
        <v>44461</v>
      </c>
      <c r="Y921" t="s">
        <v>207</v>
      </c>
      <c r="Z921">
        <v>103.45</v>
      </c>
      <c r="AA921">
        <v>16</v>
      </c>
      <c r="AB921">
        <v>16.55</v>
      </c>
      <c r="AC921">
        <v>0</v>
      </c>
      <c r="AD921">
        <v>120</v>
      </c>
      <c r="AE921">
        <v>5821.85</v>
      </c>
      <c r="AF921">
        <v>7988</v>
      </c>
      <c r="AG921" t="s">
        <v>1723</v>
      </c>
      <c r="AH921" t="s">
        <v>66</v>
      </c>
      <c r="AI921" t="s">
        <v>65</v>
      </c>
      <c r="AJ921" t="s">
        <v>66</v>
      </c>
      <c r="AK921" t="s">
        <v>66</v>
      </c>
      <c r="AL921" t="s">
        <v>66</v>
      </c>
      <c r="AM921" s="2" t="str">
        <f>HYPERLINK("https://transparencia.cidesi.mx/comprobantes/2021/CQ2100860 /C15cC0000003354.pdf")</f>
        <v>https://transparencia.cidesi.mx/comprobantes/2021/CQ2100860 /C15cC0000003354.pdf</v>
      </c>
      <c r="AN921" t="str">
        <f>HYPERLINK("https://transparencia.cidesi.mx/comprobantes/2021/CQ2100860 /C15cC0000003354.pdf")</f>
        <v>https://transparencia.cidesi.mx/comprobantes/2021/CQ2100860 /C15cC0000003354.pdf</v>
      </c>
      <c r="AO921" t="str">
        <f>HYPERLINK("https://transparencia.cidesi.mx/comprobantes/2021/CQ2100860 /C15cC0000003354.xml")</f>
        <v>https://transparencia.cidesi.mx/comprobantes/2021/CQ2100860 /C15cC0000003354.xml</v>
      </c>
      <c r="AP921" t="s">
        <v>1753</v>
      </c>
      <c r="AQ921" t="s">
        <v>1754</v>
      </c>
      <c r="AR921" t="s">
        <v>1755</v>
      </c>
      <c r="AS921" t="s">
        <v>1756</v>
      </c>
      <c r="AT921" s="1">
        <v>44462</v>
      </c>
      <c r="AU921" t="s">
        <v>73</v>
      </c>
    </row>
    <row r="922" spans="1:47" x14ac:dyDescent="0.3">
      <c r="A922" t="s">
        <v>47</v>
      </c>
      <c r="B922" t="s">
        <v>224</v>
      </c>
      <c r="C922" t="s">
        <v>225</v>
      </c>
      <c r="D922">
        <v>9088</v>
      </c>
      <c r="E922" t="s">
        <v>1718</v>
      </c>
      <c r="F922" t="s">
        <v>912</v>
      </c>
      <c r="G922" t="s">
        <v>1719</v>
      </c>
      <c r="H922" t="s">
        <v>1757</v>
      </c>
      <c r="I922" t="s">
        <v>54</v>
      </c>
      <c r="J922" t="s">
        <v>1758</v>
      </c>
      <c r="K922" t="s">
        <v>56</v>
      </c>
      <c r="L922">
        <v>0</v>
      </c>
      <c r="M922" t="s">
        <v>73</v>
      </c>
      <c r="N922">
        <v>0</v>
      </c>
      <c r="O922" t="s">
        <v>58</v>
      </c>
      <c r="P922" t="s">
        <v>59</v>
      </c>
      <c r="Q922" t="s">
        <v>590</v>
      </c>
      <c r="R922" t="s">
        <v>1758</v>
      </c>
      <c r="S922" s="1">
        <v>44461</v>
      </c>
      <c r="T922" s="1">
        <v>44462</v>
      </c>
      <c r="U922">
        <v>37501</v>
      </c>
      <c r="V922" t="s">
        <v>104</v>
      </c>
      <c r="W922" t="s">
        <v>1759</v>
      </c>
      <c r="X922" s="1">
        <v>44468</v>
      </c>
      <c r="Y922" t="s">
        <v>63</v>
      </c>
      <c r="Z922">
        <v>410.59</v>
      </c>
      <c r="AA922">
        <v>16</v>
      </c>
      <c r="AB922">
        <v>64.41</v>
      </c>
      <c r="AC922">
        <v>0</v>
      </c>
      <c r="AD922">
        <v>475</v>
      </c>
      <c r="AE922">
        <v>1633</v>
      </c>
      <c r="AF922">
        <v>1636</v>
      </c>
      <c r="AG922" t="s">
        <v>1749</v>
      </c>
      <c r="AH922" t="s">
        <v>65</v>
      </c>
      <c r="AI922" t="s">
        <v>65</v>
      </c>
      <c r="AJ922" t="s">
        <v>66</v>
      </c>
      <c r="AK922" t="s">
        <v>66</v>
      </c>
      <c r="AL922" t="s">
        <v>66</v>
      </c>
      <c r="AM922" s="2" t="str">
        <f>HYPERLINK("https://transparencia.cidesi.mx/comprobantes/2021/CQ2100912 /C1HHO191128C47_Factura__1855_BBF7E4E0-0563-4C9D-94FD-38B1EA1025EF.pdf")</f>
        <v>https://transparencia.cidesi.mx/comprobantes/2021/CQ2100912 /C1HHO191128C47_Factura__1855_BBF7E4E0-0563-4C9D-94FD-38B1EA1025EF.pdf</v>
      </c>
      <c r="AN922" t="str">
        <f>HYPERLINK("https://transparencia.cidesi.mx/comprobantes/2021/CQ2100912 /C1HHO191128C47_Factura__1855_BBF7E4E0-0563-4C9D-94FD-38B1EA1025EF.pdf")</f>
        <v>https://transparencia.cidesi.mx/comprobantes/2021/CQ2100912 /C1HHO191128C47_Factura__1855_BBF7E4E0-0563-4C9D-94FD-38B1EA1025EF.pdf</v>
      </c>
      <c r="AO922" t="str">
        <f>HYPERLINK("https://transparencia.cidesi.mx/comprobantes/2021/CQ2100912 /C1HHO191128C47_Factura__1855_BBF7E4E0-0563-4C9D-94FD-38B1EA1025EF.xml")</f>
        <v>https://transparencia.cidesi.mx/comprobantes/2021/CQ2100912 /C1HHO191128C47_Factura__1855_BBF7E4E0-0563-4C9D-94FD-38B1EA1025EF.xml</v>
      </c>
      <c r="AP922" t="s">
        <v>1760</v>
      </c>
      <c r="AQ922" t="s">
        <v>1761</v>
      </c>
      <c r="AR922" t="s">
        <v>1762</v>
      </c>
      <c r="AS922" t="s">
        <v>1763</v>
      </c>
      <c r="AT922" s="1">
        <v>44470</v>
      </c>
      <c r="AU922" s="1">
        <v>44473</v>
      </c>
    </row>
    <row r="923" spans="1:47" x14ac:dyDescent="0.3">
      <c r="A923" t="s">
        <v>47</v>
      </c>
      <c r="B923" t="s">
        <v>224</v>
      </c>
      <c r="C923" t="s">
        <v>225</v>
      </c>
      <c r="D923">
        <v>9088</v>
      </c>
      <c r="E923" t="s">
        <v>1718</v>
      </c>
      <c r="F923" t="s">
        <v>912</v>
      </c>
      <c r="G923" t="s">
        <v>1719</v>
      </c>
      <c r="H923" t="s">
        <v>1757</v>
      </c>
      <c r="I923" t="s">
        <v>54</v>
      </c>
      <c r="J923" t="s">
        <v>1758</v>
      </c>
      <c r="K923" t="s">
        <v>56</v>
      </c>
      <c r="L923">
        <v>0</v>
      </c>
      <c r="M923" t="s">
        <v>73</v>
      </c>
      <c r="N923">
        <v>0</v>
      </c>
      <c r="O923" t="s">
        <v>58</v>
      </c>
      <c r="P923" t="s">
        <v>59</v>
      </c>
      <c r="Q923" t="s">
        <v>590</v>
      </c>
      <c r="R923" t="s">
        <v>1758</v>
      </c>
      <c r="S923" s="1">
        <v>44461</v>
      </c>
      <c r="T923" s="1">
        <v>44462</v>
      </c>
      <c r="U923">
        <v>37501</v>
      </c>
      <c r="V923" t="s">
        <v>61</v>
      </c>
      <c r="W923" t="s">
        <v>1759</v>
      </c>
      <c r="X923" s="1">
        <v>44468</v>
      </c>
      <c r="Y923" t="s">
        <v>63</v>
      </c>
      <c r="Z923">
        <v>349.14</v>
      </c>
      <c r="AA923">
        <v>16</v>
      </c>
      <c r="AB923">
        <v>55.86</v>
      </c>
      <c r="AC923">
        <v>40</v>
      </c>
      <c r="AD923">
        <v>445</v>
      </c>
      <c r="AE923">
        <v>1633</v>
      </c>
      <c r="AF923">
        <v>1636</v>
      </c>
      <c r="AG923" t="s">
        <v>1723</v>
      </c>
      <c r="AH923" t="s">
        <v>65</v>
      </c>
      <c r="AI923" t="s">
        <v>65</v>
      </c>
      <c r="AJ923" t="s">
        <v>66</v>
      </c>
      <c r="AK923" t="s">
        <v>66</v>
      </c>
      <c r="AL923" t="s">
        <v>66</v>
      </c>
      <c r="AM923" s="2" t="str">
        <f>HYPERLINK("https://transparencia.cidesi.mx/comprobantes/2021/CQ2100912 /C2HEGE610809JR4_Factura__3073_27BE955E-9159-4634-92F1-CE19BC2C0F84.pdf")</f>
        <v>https://transparencia.cidesi.mx/comprobantes/2021/CQ2100912 /C2HEGE610809JR4_Factura__3073_27BE955E-9159-4634-92F1-CE19BC2C0F84.pdf</v>
      </c>
      <c r="AN923" t="str">
        <f>HYPERLINK("https://transparencia.cidesi.mx/comprobantes/2021/CQ2100912 /C2HEGE610809JR4_Factura__3073_27BE955E-9159-4634-92F1-CE19BC2C0F84.pdf")</f>
        <v>https://transparencia.cidesi.mx/comprobantes/2021/CQ2100912 /C2HEGE610809JR4_Factura__3073_27BE955E-9159-4634-92F1-CE19BC2C0F84.pdf</v>
      </c>
      <c r="AO923" t="str">
        <f>HYPERLINK("https://transparencia.cidesi.mx/comprobantes/2021/CQ2100912 /C2HEGE610809JR4_Factura__3073_27BE955E-9159-4634-92F1-CE19BC2C0F84.xml")</f>
        <v>https://transparencia.cidesi.mx/comprobantes/2021/CQ2100912 /C2HEGE610809JR4_Factura__3073_27BE955E-9159-4634-92F1-CE19BC2C0F84.xml</v>
      </c>
      <c r="AP923" t="s">
        <v>1760</v>
      </c>
      <c r="AQ923" t="s">
        <v>1761</v>
      </c>
      <c r="AR923" t="s">
        <v>1762</v>
      </c>
      <c r="AS923" t="s">
        <v>1763</v>
      </c>
      <c r="AT923" s="1">
        <v>44470</v>
      </c>
      <c r="AU923" s="1">
        <v>44473</v>
      </c>
    </row>
    <row r="924" spans="1:47" x14ac:dyDescent="0.3">
      <c r="A924" t="s">
        <v>47</v>
      </c>
      <c r="B924" t="s">
        <v>224</v>
      </c>
      <c r="C924" t="s">
        <v>225</v>
      </c>
      <c r="D924">
        <v>9088</v>
      </c>
      <c r="E924" t="s">
        <v>1718</v>
      </c>
      <c r="F924" t="s">
        <v>912</v>
      </c>
      <c r="G924" t="s">
        <v>1719</v>
      </c>
      <c r="H924" t="s">
        <v>1757</v>
      </c>
      <c r="I924" t="s">
        <v>54</v>
      </c>
      <c r="J924" t="s">
        <v>1758</v>
      </c>
      <c r="K924" t="s">
        <v>56</v>
      </c>
      <c r="L924">
        <v>0</v>
      </c>
      <c r="M924" t="s">
        <v>73</v>
      </c>
      <c r="N924">
        <v>0</v>
      </c>
      <c r="O924" t="s">
        <v>58</v>
      </c>
      <c r="P924" t="s">
        <v>59</v>
      </c>
      <c r="Q924" t="s">
        <v>590</v>
      </c>
      <c r="R924" t="s">
        <v>1758</v>
      </c>
      <c r="S924" s="1">
        <v>44461</v>
      </c>
      <c r="T924" s="1">
        <v>44462</v>
      </c>
      <c r="U924">
        <v>37501</v>
      </c>
      <c r="V924" t="s">
        <v>61</v>
      </c>
      <c r="W924" t="s">
        <v>1759</v>
      </c>
      <c r="X924" s="1">
        <v>44468</v>
      </c>
      <c r="Y924" t="s">
        <v>63</v>
      </c>
      <c r="Z924">
        <v>390.52</v>
      </c>
      <c r="AA924">
        <v>16</v>
      </c>
      <c r="AB924">
        <v>62.48</v>
      </c>
      <c r="AC924">
        <v>0</v>
      </c>
      <c r="AD924">
        <v>453</v>
      </c>
      <c r="AE924">
        <v>1633</v>
      </c>
      <c r="AF924">
        <v>1636</v>
      </c>
      <c r="AG924" t="s">
        <v>1723</v>
      </c>
      <c r="AH924" t="s">
        <v>65</v>
      </c>
      <c r="AI924" t="s">
        <v>65</v>
      </c>
      <c r="AJ924" t="s">
        <v>66</v>
      </c>
      <c r="AK924" t="s">
        <v>66</v>
      </c>
      <c r="AL924" t="s">
        <v>66</v>
      </c>
      <c r="AM924" s="2" t="str">
        <f>HYPERLINK("https://transparencia.cidesi.mx/comprobantes/2021/CQ2100912 /C3F0000098245.pdf")</f>
        <v>https://transparencia.cidesi.mx/comprobantes/2021/CQ2100912 /C3F0000098245.pdf</v>
      </c>
      <c r="AN924" t="str">
        <f>HYPERLINK("https://transparencia.cidesi.mx/comprobantes/2021/CQ2100912 /C3F0000098245.pdf")</f>
        <v>https://transparencia.cidesi.mx/comprobantes/2021/CQ2100912 /C3F0000098245.pdf</v>
      </c>
      <c r="AO924" t="str">
        <f>HYPERLINK("https://transparencia.cidesi.mx/comprobantes/2021/CQ2100912 /C3F0000098245.xml")</f>
        <v>https://transparencia.cidesi.mx/comprobantes/2021/CQ2100912 /C3F0000098245.xml</v>
      </c>
      <c r="AP924" t="s">
        <v>1760</v>
      </c>
      <c r="AQ924" t="s">
        <v>1761</v>
      </c>
      <c r="AR924" t="s">
        <v>1762</v>
      </c>
      <c r="AS924" t="s">
        <v>1763</v>
      </c>
      <c r="AT924" s="1">
        <v>44470</v>
      </c>
      <c r="AU924" s="1">
        <v>44473</v>
      </c>
    </row>
    <row r="925" spans="1:47" x14ac:dyDescent="0.3">
      <c r="A925" t="s">
        <v>47</v>
      </c>
      <c r="B925" t="s">
        <v>224</v>
      </c>
      <c r="C925" t="s">
        <v>225</v>
      </c>
      <c r="D925">
        <v>9088</v>
      </c>
      <c r="E925" t="s">
        <v>1718</v>
      </c>
      <c r="F925" t="s">
        <v>912</v>
      </c>
      <c r="G925" t="s">
        <v>1719</v>
      </c>
      <c r="H925" t="s">
        <v>1757</v>
      </c>
      <c r="I925" t="s">
        <v>54</v>
      </c>
      <c r="J925" t="s">
        <v>1758</v>
      </c>
      <c r="K925" t="s">
        <v>56</v>
      </c>
      <c r="L925">
        <v>0</v>
      </c>
      <c r="M925" t="s">
        <v>73</v>
      </c>
      <c r="N925">
        <v>0</v>
      </c>
      <c r="O925" t="s">
        <v>58</v>
      </c>
      <c r="P925" t="s">
        <v>59</v>
      </c>
      <c r="Q925" t="s">
        <v>590</v>
      </c>
      <c r="R925" t="s">
        <v>1758</v>
      </c>
      <c r="S925" s="1">
        <v>44461</v>
      </c>
      <c r="T925" s="1">
        <v>44462</v>
      </c>
      <c r="U925">
        <v>37501</v>
      </c>
      <c r="V925" t="s">
        <v>61</v>
      </c>
      <c r="W925" t="s">
        <v>1759</v>
      </c>
      <c r="X925" s="1">
        <v>44468</v>
      </c>
      <c r="Y925" t="s">
        <v>63</v>
      </c>
      <c r="Z925">
        <v>237.07</v>
      </c>
      <c r="AA925">
        <v>16</v>
      </c>
      <c r="AB925">
        <v>22.93</v>
      </c>
      <c r="AC925">
        <v>0</v>
      </c>
      <c r="AD925">
        <v>260</v>
      </c>
      <c r="AE925">
        <v>1633</v>
      </c>
      <c r="AF925">
        <v>1636</v>
      </c>
      <c r="AG925" t="s">
        <v>1723</v>
      </c>
      <c r="AH925" t="s">
        <v>65</v>
      </c>
      <c r="AI925" t="s">
        <v>65</v>
      </c>
      <c r="AJ925" t="s">
        <v>66</v>
      </c>
      <c r="AK925" t="s">
        <v>66</v>
      </c>
      <c r="AL925" t="s">
        <v>66</v>
      </c>
      <c r="AM925" s="2" t="str">
        <f>HYPERLINK("https://transparencia.cidesi.mx/comprobantes/2021/CQ2100912 /C4D__AutoFactura_2433_Comprobantes_fc72564HU.pdf")</f>
        <v>https://transparencia.cidesi.mx/comprobantes/2021/CQ2100912 /C4D__AutoFactura_2433_Comprobantes_fc72564HU.pdf</v>
      </c>
      <c r="AN925" t="str">
        <f>HYPERLINK("https://transparencia.cidesi.mx/comprobantes/2021/CQ2100912 /C4D__AutoFactura_2433_Comprobantes_fc72564HU.pdf")</f>
        <v>https://transparencia.cidesi.mx/comprobantes/2021/CQ2100912 /C4D__AutoFactura_2433_Comprobantes_fc72564HU.pdf</v>
      </c>
      <c r="AO925" t="str">
        <f>HYPERLINK("https://transparencia.cidesi.mx/comprobantes/2021/CQ2100912 /C4D__AutoFactura_2433_Comprobantes_72564HU_xml.xml")</f>
        <v>https://transparencia.cidesi.mx/comprobantes/2021/CQ2100912 /C4D__AutoFactura_2433_Comprobantes_72564HU_xml.xml</v>
      </c>
      <c r="AP925" t="s">
        <v>1760</v>
      </c>
      <c r="AQ925" t="s">
        <v>1761</v>
      </c>
      <c r="AR925" t="s">
        <v>1762</v>
      </c>
      <c r="AS925" t="s">
        <v>1763</v>
      </c>
      <c r="AT925" s="1">
        <v>44470</v>
      </c>
      <c r="AU925" s="1">
        <v>44473</v>
      </c>
    </row>
    <row r="926" spans="1:47" x14ac:dyDescent="0.3">
      <c r="A926" t="s">
        <v>246</v>
      </c>
      <c r="B926" t="s">
        <v>182</v>
      </c>
      <c r="C926" t="s">
        <v>183</v>
      </c>
      <c r="D926">
        <v>9112</v>
      </c>
      <c r="E926" t="s">
        <v>1764</v>
      </c>
      <c r="F926" t="s">
        <v>351</v>
      </c>
      <c r="G926" t="s">
        <v>1765</v>
      </c>
      <c r="H926" t="s">
        <v>1766</v>
      </c>
      <c r="I926" t="s">
        <v>54</v>
      </c>
      <c r="J926" t="s">
        <v>1767</v>
      </c>
      <c r="K926" t="s">
        <v>56</v>
      </c>
      <c r="L926">
        <v>0</v>
      </c>
      <c r="M926" t="s">
        <v>73</v>
      </c>
      <c r="N926">
        <v>0</v>
      </c>
      <c r="O926" t="s">
        <v>58</v>
      </c>
      <c r="P926" t="s">
        <v>59</v>
      </c>
      <c r="Q926" t="s">
        <v>738</v>
      </c>
      <c r="R926" t="s">
        <v>1767</v>
      </c>
      <c r="S926" s="1">
        <v>44395</v>
      </c>
      <c r="T926" s="1">
        <v>44401</v>
      </c>
      <c r="U926">
        <v>37501</v>
      </c>
      <c r="V926" t="s">
        <v>61</v>
      </c>
      <c r="W926" t="s">
        <v>1768</v>
      </c>
      <c r="X926" s="1">
        <v>44403</v>
      </c>
      <c r="Y926" t="s">
        <v>63</v>
      </c>
      <c r="Z926">
        <v>392.24</v>
      </c>
      <c r="AA926">
        <v>16</v>
      </c>
      <c r="AB926">
        <v>62.76</v>
      </c>
      <c r="AC926">
        <v>45.5</v>
      </c>
      <c r="AD926">
        <v>500.5</v>
      </c>
      <c r="AE926">
        <v>3473.78</v>
      </c>
      <c r="AF926">
        <v>7091</v>
      </c>
      <c r="AG926" t="s">
        <v>1769</v>
      </c>
      <c r="AH926" t="s">
        <v>65</v>
      </c>
      <c r="AI926" t="s">
        <v>65</v>
      </c>
      <c r="AJ926" t="s">
        <v>66</v>
      </c>
      <c r="AK926" t="s">
        <v>66</v>
      </c>
      <c r="AL926" t="s">
        <v>66</v>
      </c>
      <c r="AM926" s="2" t="str">
        <f>HYPERLINK("https://transparencia.cidesi.mx/comprobantes/2021/CQ2100549 /C1RORR791119M94_bosque.pdf")</f>
        <v>https://transparencia.cidesi.mx/comprobantes/2021/CQ2100549 /C1RORR791119M94_bosque.pdf</v>
      </c>
      <c r="AN926" t="str">
        <f>HYPERLINK("https://transparencia.cidesi.mx/comprobantes/2021/CQ2100549 /C1RORR791119M94_bosque.pdf")</f>
        <v>https://transparencia.cidesi.mx/comprobantes/2021/CQ2100549 /C1RORR791119M94_bosque.pdf</v>
      </c>
      <c r="AO926" t="str">
        <f>HYPERLINK("https://transparencia.cidesi.mx/comprobantes/2021/CQ2100549 /C1RORR791119M94_bosque.xml")</f>
        <v>https://transparencia.cidesi.mx/comprobantes/2021/CQ2100549 /C1RORR791119M94_bosque.xml</v>
      </c>
      <c r="AP926" t="s">
        <v>1770</v>
      </c>
      <c r="AQ926" t="e">
        <f>+ Selección de elementos, patrones e instrumentos para realizar la calibración y elaboración de lista de material y equipo  + Transporte de CIDESI a Volks Wagen + Tramite de ingreso a planta + Descarga de matrial y equipo + Instalación de tuberia para realizar las mediciones correspondientes + Toma de los datos generados de las mediciones + Orden y limpieza del área de trabajo + Carga de material y equipo + Transporte de Volks Wagen, Puebla  hacía las instalaciones de CIDESI</f>
        <v>#NAME?</v>
      </c>
      <c r="AR926" t="s">
        <v>1771</v>
      </c>
      <c r="AS926" t="s">
        <v>1772</v>
      </c>
      <c r="AT926" s="1">
        <v>44405</v>
      </c>
      <c r="AU926" s="1">
        <v>44420</v>
      </c>
    </row>
    <row r="927" spans="1:47" x14ac:dyDescent="0.3">
      <c r="A927" t="s">
        <v>246</v>
      </c>
      <c r="B927" t="s">
        <v>182</v>
      </c>
      <c r="C927" t="s">
        <v>183</v>
      </c>
      <c r="D927">
        <v>9112</v>
      </c>
      <c r="E927" t="s">
        <v>1764</v>
      </c>
      <c r="F927" t="s">
        <v>351</v>
      </c>
      <c r="G927" t="s">
        <v>1765</v>
      </c>
      <c r="H927" t="s">
        <v>1766</v>
      </c>
      <c r="I927" t="s">
        <v>54</v>
      </c>
      <c r="J927" t="s">
        <v>1767</v>
      </c>
      <c r="K927" t="s">
        <v>56</v>
      </c>
      <c r="L927">
        <v>0</v>
      </c>
      <c r="M927" t="s">
        <v>73</v>
      </c>
      <c r="N927">
        <v>0</v>
      </c>
      <c r="O927" t="s">
        <v>58</v>
      </c>
      <c r="P927" t="s">
        <v>59</v>
      </c>
      <c r="Q927" t="s">
        <v>738</v>
      </c>
      <c r="R927" t="s">
        <v>1767</v>
      </c>
      <c r="S927" s="1">
        <v>44395</v>
      </c>
      <c r="T927" s="1">
        <v>44401</v>
      </c>
      <c r="U927">
        <v>37501</v>
      </c>
      <c r="V927" t="s">
        <v>104</v>
      </c>
      <c r="W927" t="s">
        <v>1768</v>
      </c>
      <c r="X927" s="1">
        <v>44403</v>
      </c>
      <c r="Y927" t="s">
        <v>63</v>
      </c>
      <c r="Z927">
        <v>1346.45</v>
      </c>
      <c r="AA927">
        <v>16</v>
      </c>
      <c r="AB927">
        <v>209.11</v>
      </c>
      <c r="AC927">
        <v>0</v>
      </c>
      <c r="AD927">
        <v>1555.56</v>
      </c>
      <c r="AE927">
        <v>3473.78</v>
      </c>
      <c r="AF927">
        <v>7091</v>
      </c>
      <c r="AG927" t="s">
        <v>1773</v>
      </c>
      <c r="AH927" t="s">
        <v>65</v>
      </c>
      <c r="AI927" t="s">
        <v>65</v>
      </c>
      <c r="AJ927" t="s">
        <v>66</v>
      </c>
      <c r="AK927" t="s">
        <v>66</v>
      </c>
      <c r="AL927" t="s">
        <v>66</v>
      </c>
      <c r="AM927" s="2" t="str">
        <f>HYPERLINK("https://transparencia.cidesi.mx/comprobantes/2021/CQ2100549 /C2Factura-163.pdf")</f>
        <v>https://transparencia.cidesi.mx/comprobantes/2021/CQ2100549 /C2Factura-163.pdf</v>
      </c>
      <c r="AN927" t="str">
        <f>HYPERLINK("https://transparencia.cidesi.mx/comprobantes/2021/CQ2100549 /C2Factura-163.pdf")</f>
        <v>https://transparencia.cidesi.mx/comprobantes/2021/CQ2100549 /C2Factura-163.pdf</v>
      </c>
      <c r="AO927" t="str">
        <f>HYPERLINK("https://transparencia.cidesi.mx/comprobantes/2021/CQ2100549 /C2Factura-163.xml")</f>
        <v>https://transparencia.cidesi.mx/comprobantes/2021/CQ2100549 /C2Factura-163.xml</v>
      </c>
      <c r="AP927" t="s">
        <v>1770</v>
      </c>
      <c r="AQ927" t="e">
        <f>+ Selección de elementos, patrones e instrumentos para realizar la calibración y elaboración de lista de material y equipo  + Transporte de CIDESI a Volks Wagen + Tramite de ingreso a planta + Descarga de matrial y equipo + Instalación de tuberia para realizar las mediciones correspondientes + Toma de los datos generados de las mediciones + Orden y limpieza del área de trabajo + Carga de material y equipo + Transporte de Volks Wagen, Puebla  hacía las instalaciones de CIDESI</f>
        <v>#NAME?</v>
      </c>
      <c r="AR927" t="s">
        <v>1771</v>
      </c>
      <c r="AS927" t="s">
        <v>1772</v>
      </c>
      <c r="AT927" s="1">
        <v>44405</v>
      </c>
      <c r="AU927" s="1">
        <v>44420</v>
      </c>
    </row>
    <row r="928" spans="1:47" x14ac:dyDescent="0.3">
      <c r="A928" t="s">
        <v>246</v>
      </c>
      <c r="B928" t="s">
        <v>182</v>
      </c>
      <c r="C928" t="s">
        <v>183</v>
      </c>
      <c r="D928">
        <v>9112</v>
      </c>
      <c r="E928" t="s">
        <v>1764</v>
      </c>
      <c r="F928" t="s">
        <v>351</v>
      </c>
      <c r="G928" t="s">
        <v>1765</v>
      </c>
      <c r="H928" t="s">
        <v>1766</v>
      </c>
      <c r="I928" t="s">
        <v>54</v>
      </c>
      <c r="J928" t="s">
        <v>1767</v>
      </c>
      <c r="K928" t="s">
        <v>56</v>
      </c>
      <c r="L928">
        <v>0</v>
      </c>
      <c r="M928" t="s">
        <v>73</v>
      </c>
      <c r="N928">
        <v>0</v>
      </c>
      <c r="O928" t="s">
        <v>58</v>
      </c>
      <c r="P928" t="s">
        <v>59</v>
      </c>
      <c r="Q928" t="s">
        <v>738</v>
      </c>
      <c r="R928" t="s">
        <v>1767</v>
      </c>
      <c r="S928" s="1">
        <v>44395</v>
      </c>
      <c r="T928" s="1">
        <v>44401</v>
      </c>
      <c r="U928">
        <v>37501</v>
      </c>
      <c r="V928" t="s">
        <v>61</v>
      </c>
      <c r="W928" t="s">
        <v>1768</v>
      </c>
      <c r="X928" s="1">
        <v>44403</v>
      </c>
      <c r="Y928" t="s">
        <v>63</v>
      </c>
      <c r="Z928">
        <v>265.52</v>
      </c>
      <c r="AA928">
        <v>16</v>
      </c>
      <c r="AB928">
        <v>42.48</v>
      </c>
      <c r="AC928">
        <v>30.8</v>
      </c>
      <c r="AD928">
        <v>338.8</v>
      </c>
      <c r="AE928">
        <v>3473.78</v>
      </c>
      <c r="AF928">
        <v>7091</v>
      </c>
      <c r="AG928" t="s">
        <v>1769</v>
      </c>
      <c r="AH928" t="s">
        <v>65</v>
      </c>
      <c r="AI928" t="s">
        <v>65</v>
      </c>
      <c r="AJ928" t="s">
        <v>66</v>
      </c>
      <c r="AK928" t="s">
        <v>66</v>
      </c>
      <c r="AL928" t="s">
        <v>66</v>
      </c>
      <c r="AM928" s="2" t="str">
        <f>HYPERLINK("https://transparencia.cidesi.mx/comprobantes/2021/CQ2100549 /C3ARM1805307B8_B_30.pdf")</f>
        <v>https://transparencia.cidesi.mx/comprobantes/2021/CQ2100549 /C3ARM1805307B8_B_30.pdf</v>
      </c>
      <c r="AN928" t="str">
        <f>HYPERLINK("https://transparencia.cidesi.mx/comprobantes/2021/CQ2100549 /C3ARM1805307B8_B_30.pdf")</f>
        <v>https://transparencia.cidesi.mx/comprobantes/2021/CQ2100549 /C3ARM1805307B8_B_30.pdf</v>
      </c>
      <c r="AO928" t="str">
        <f>HYPERLINK("https://transparencia.cidesi.mx/comprobantes/2021/CQ2100549 /C3ARM1805307B8_B_30.xml")</f>
        <v>https://transparencia.cidesi.mx/comprobantes/2021/CQ2100549 /C3ARM1805307B8_B_30.xml</v>
      </c>
      <c r="AP928" t="s">
        <v>1770</v>
      </c>
      <c r="AQ928" t="e">
        <f>+ Selección de elementos, patrones e instrumentos para realizar la calibración y elaboración de lista de material y equipo  + Transporte de CIDESI a Volks Wagen + Tramite de ingreso a planta + Descarga de matrial y equipo + Instalación de tuberia para realizar las mediciones correspondientes + Toma de los datos generados de las mediciones + Orden y limpieza del área de trabajo + Carga de material y equipo + Transporte de Volks Wagen, Puebla  hacía las instalaciones de CIDESI</f>
        <v>#NAME?</v>
      </c>
      <c r="AR928" t="s">
        <v>1771</v>
      </c>
      <c r="AS928" t="s">
        <v>1772</v>
      </c>
      <c r="AT928" s="1">
        <v>44405</v>
      </c>
      <c r="AU928" s="1">
        <v>44420</v>
      </c>
    </row>
    <row r="929" spans="1:47" x14ac:dyDescent="0.3">
      <c r="A929" t="s">
        <v>246</v>
      </c>
      <c r="B929" t="s">
        <v>182</v>
      </c>
      <c r="C929" t="s">
        <v>183</v>
      </c>
      <c r="D929">
        <v>9112</v>
      </c>
      <c r="E929" t="s">
        <v>1764</v>
      </c>
      <c r="F929" t="s">
        <v>351</v>
      </c>
      <c r="G929" t="s">
        <v>1765</v>
      </c>
      <c r="H929" t="s">
        <v>1766</v>
      </c>
      <c r="I929" t="s">
        <v>54</v>
      </c>
      <c r="J929" t="s">
        <v>1767</v>
      </c>
      <c r="K929" t="s">
        <v>56</v>
      </c>
      <c r="L929">
        <v>0</v>
      </c>
      <c r="M929" t="s">
        <v>73</v>
      </c>
      <c r="N929">
        <v>0</v>
      </c>
      <c r="O929" t="s">
        <v>58</v>
      </c>
      <c r="P929" t="s">
        <v>59</v>
      </c>
      <c r="Q929" t="s">
        <v>738</v>
      </c>
      <c r="R929" t="s">
        <v>1767</v>
      </c>
      <c r="S929" s="1">
        <v>44395</v>
      </c>
      <c r="T929" s="1">
        <v>44401</v>
      </c>
      <c r="U929">
        <v>37501</v>
      </c>
      <c r="V929" t="s">
        <v>61</v>
      </c>
      <c r="W929" t="s">
        <v>1768</v>
      </c>
      <c r="X929" s="1">
        <v>44403</v>
      </c>
      <c r="Y929" t="s">
        <v>63</v>
      </c>
      <c r="Z929">
        <v>227</v>
      </c>
      <c r="AA929">
        <v>16</v>
      </c>
      <c r="AB929">
        <v>36.32</v>
      </c>
      <c r="AC929">
        <v>27</v>
      </c>
      <c r="AD929">
        <v>290.32</v>
      </c>
      <c r="AE929">
        <v>3473.78</v>
      </c>
      <c r="AF929">
        <v>7091</v>
      </c>
      <c r="AG929" t="s">
        <v>1769</v>
      </c>
      <c r="AH929" t="s">
        <v>65</v>
      </c>
      <c r="AI929" t="s">
        <v>65</v>
      </c>
      <c r="AJ929" t="s">
        <v>66</v>
      </c>
      <c r="AK929" t="s">
        <v>66</v>
      </c>
      <c r="AL929" t="s">
        <v>66</v>
      </c>
      <c r="AM929" s="2" t="str">
        <f>HYPERLINK("https://transparencia.cidesi.mx/comprobantes/2021/CQ2100549 /C4aaa178bf-0278-464e-934b-bc0c723fcee7.pdf")</f>
        <v>https://transparencia.cidesi.mx/comprobantes/2021/CQ2100549 /C4aaa178bf-0278-464e-934b-bc0c723fcee7.pdf</v>
      </c>
      <c r="AN929" t="str">
        <f>HYPERLINK("https://transparencia.cidesi.mx/comprobantes/2021/CQ2100549 /C4aaa178bf-0278-464e-934b-bc0c723fcee7.pdf")</f>
        <v>https://transparencia.cidesi.mx/comprobantes/2021/CQ2100549 /C4aaa178bf-0278-464e-934b-bc0c723fcee7.pdf</v>
      </c>
      <c r="AO929" t="str">
        <f>HYPERLINK("https://transparencia.cidesi.mx/comprobantes/2021/CQ2100549 /C4aaa178bf-0278-464e-934b-bc0c723fcee7.xml")</f>
        <v>https://transparencia.cidesi.mx/comprobantes/2021/CQ2100549 /C4aaa178bf-0278-464e-934b-bc0c723fcee7.xml</v>
      </c>
      <c r="AP929" t="s">
        <v>1770</v>
      </c>
      <c r="AQ929" t="e">
        <f>+ Selección de elementos, patrones e instrumentos para realizar la calibración y elaboración de lista de material y equipo  + Transporte de CIDESI a Volks Wagen + Tramite de ingreso a planta + Descarga de matrial y equipo + Instalación de tuberia para realizar las mediciones correspondientes + Toma de los datos generados de las mediciones + Orden y limpieza del área de trabajo + Carga de material y equipo + Transporte de Volks Wagen, Puebla  hacía las instalaciones de CIDESI</f>
        <v>#NAME?</v>
      </c>
      <c r="AR929" t="s">
        <v>1771</v>
      </c>
      <c r="AS929" t="s">
        <v>1772</v>
      </c>
      <c r="AT929" s="1">
        <v>44405</v>
      </c>
      <c r="AU929" s="1">
        <v>44420</v>
      </c>
    </row>
    <row r="930" spans="1:47" x14ac:dyDescent="0.3">
      <c r="A930" t="s">
        <v>246</v>
      </c>
      <c r="B930" t="s">
        <v>182</v>
      </c>
      <c r="C930" t="s">
        <v>183</v>
      </c>
      <c r="D930">
        <v>9112</v>
      </c>
      <c r="E930" t="s">
        <v>1764</v>
      </c>
      <c r="F930" t="s">
        <v>351</v>
      </c>
      <c r="G930" t="s">
        <v>1765</v>
      </c>
      <c r="H930" t="s">
        <v>1766</v>
      </c>
      <c r="I930" t="s">
        <v>54</v>
      </c>
      <c r="J930" t="s">
        <v>1767</v>
      </c>
      <c r="K930" t="s">
        <v>56</v>
      </c>
      <c r="L930">
        <v>0</v>
      </c>
      <c r="M930" t="s">
        <v>73</v>
      </c>
      <c r="N930">
        <v>0</v>
      </c>
      <c r="O930" t="s">
        <v>58</v>
      </c>
      <c r="P930" t="s">
        <v>59</v>
      </c>
      <c r="Q930" t="s">
        <v>738</v>
      </c>
      <c r="R930" t="s">
        <v>1767</v>
      </c>
      <c r="S930" s="1">
        <v>44395</v>
      </c>
      <c r="T930" s="1">
        <v>44401</v>
      </c>
      <c r="U930">
        <v>37501</v>
      </c>
      <c r="V930" t="s">
        <v>61</v>
      </c>
      <c r="W930" t="s">
        <v>1768</v>
      </c>
      <c r="X930" s="1">
        <v>44403</v>
      </c>
      <c r="Y930" t="s">
        <v>63</v>
      </c>
      <c r="Z930">
        <v>262.07</v>
      </c>
      <c r="AA930">
        <v>16</v>
      </c>
      <c r="AB930">
        <v>41.93</v>
      </c>
      <c r="AC930">
        <v>30</v>
      </c>
      <c r="AD930">
        <v>334</v>
      </c>
      <c r="AE930">
        <v>3473.78</v>
      </c>
      <c r="AF930">
        <v>7091</v>
      </c>
      <c r="AG930" t="s">
        <v>1769</v>
      </c>
      <c r="AH930" t="s">
        <v>65</v>
      </c>
      <c r="AI930" t="s">
        <v>65</v>
      </c>
      <c r="AJ930" t="s">
        <v>66</v>
      </c>
      <c r="AK930" t="s">
        <v>66</v>
      </c>
      <c r="AL930" t="s">
        <v>66</v>
      </c>
      <c r="AM930" s="2" t="str">
        <f>HYPERLINK("https://transparencia.cidesi.mx/comprobantes/2021/CQ2100549 /C569234058.pdf")</f>
        <v>https://transparencia.cidesi.mx/comprobantes/2021/CQ2100549 /C569234058.pdf</v>
      </c>
      <c r="AN930" t="str">
        <f>HYPERLINK("https://transparencia.cidesi.mx/comprobantes/2021/CQ2100549 /C569234058.pdf")</f>
        <v>https://transparencia.cidesi.mx/comprobantes/2021/CQ2100549 /C569234058.pdf</v>
      </c>
      <c r="AO930" t="str">
        <f>HYPERLINK("https://transparencia.cidesi.mx/comprobantes/2021/CQ2100549 /C569234058.xml")</f>
        <v>https://transparencia.cidesi.mx/comprobantes/2021/CQ2100549 /C569234058.xml</v>
      </c>
      <c r="AP930" t="s">
        <v>1770</v>
      </c>
      <c r="AQ930" t="e">
        <f>+ Selección de elementos, patrones e instrumentos para realizar la calibración y elaboración de lista de material y equipo  + Transporte de CIDESI a Volks Wagen + Tramite de ingreso a planta + Descarga de matrial y equipo + Instalación de tuberia para realizar las mediciones correspondientes + Toma de los datos generados de las mediciones + Orden y limpieza del área de trabajo + Carga de material y equipo + Transporte de Volks Wagen, Puebla  hacía las instalaciones de CIDESI</f>
        <v>#NAME?</v>
      </c>
      <c r="AR930" t="s">
        <v>1771</v>
      </c>
      <c r="AS930" t="s">
        <v>1772</v>
      </c>
      <c r="AT930" s="1">
        <v>44405</v>
      </c>
      <c r="AU930" s="1">
        <v>44420</v>
      </c>
    </row>
    <row r="931" spans="1:47" x14ac:dyDescent="0.3">
      <c r="A931" t="s">
        <v>246</v>
      </c>
      <c r="B931" t="s">
        <v>182</v>
      </c>
      <c r="C931" t="s">
        <v>183</v>
      </c>
      <c r="D931">
        <v>9112</v>
      </c>
      <c r="E931" t="s">
        <v>1764</v>
      </c>
      <c r="F931" t="s">
        <v>351</v>
      </c>
      <c r="G931" t="s">
        <v>1765</v>
      </c>
      <c r="H931" t="s">
        <v>1766</v>
      </c>
      <c r="I931" t="s">
        <v>54</v>
      </c>
      <c r="J931" t="s">
        <v>1767</v>
      </c>
      <c r="K931" t="s">
        <v>56</v>
      </c>
      <c r="L931">
        <v>0</v>
      </c>
      <c r="M931" t="s">
        <v>73</v>
      </c>
      <c r="N931">
        <v>0</v>
      </c>
      <c r="O931" t="s">
        <v>58</v>
      </c>
      <c r="P931" t="s">
        <v>59</v>
      </c>
      <c r="Q931" t="s">
        <v>738</v>
      </c>
      <c r="R931" t="s">
        <v>1767</v>
      </c>
      <c r="S931" s="1">
        <v>44395</v>
      </c>
      <c r="T931" s="1">
        <v>44401</v>
      </c>
      <c r="U931">
        <v>37501</v>
      </c>
      <c r="V931" t="s">
        <v>61</v>
      </c>
      <c r="W931" t="s">
        <v>1768</v>
      </c>
      <c r="X931" s="1">
        <v>44403</v>
      </c>
      <c r="Y931" t="s">
        <v>63</v>
      </c>
      <c r="Z931">
        <v>66.69</v>
      </c>
      <c r="AA931">
        <v>16</v>
      </c>
      <c r="AB931">
        <v>7.31</v>
      </c>
      <c r="AC931">
        <v>0</v>
      </c>
      <c r="AD931">
        <v>74</v>
      </c>
      <c r="AE931">
        <v>3473.78</v>
      </c>
      <c r="AF931">
        <v>7091</v>
      </c>
      <c r="AG931" t="s">
        <v>1769</v>
      </c>
      <c r="AH931" t="s">
        <v>65</v>
      </c>
      <c r="AI931" t="s">
        <v>65</v>
      </c>
      <c r="AJ931" t="s">
        <v>66</v>
      </c>
      <c r="AK931" t="s">
        <v>66</v>
      </c>
      <c r="AL931" t="s">
        <v>66</v>
      </c>
      <c r="AM931" s="2" t="str">
        <f>HYPERLINK("https://transparencia.cidesi.mx/comprobantes/2021/CQ2100549 /C6FACTURA_1627049601867_338028207.pdf")</f>
        <v>https://transparencia.cidesi.mx/comprobantes/2021/CQ2100549 /C6FACTURA_1627049601867_338028207.pdf</v>
      </c>
      <c r="AN931" t="str">
        <f>HYPERLINK("https://transparencia.cidesi.mx/comprobantes/2021/CQ2100549 /C6FACTURA_1627049601867_338028207.pdf")</f>
        <v>https://transparencia.cidesi.mx/comprobantes/2021/CQ2100549 /C6FACTURA_1627049601867_338028207.pdf</v>
      </c>
      <c r="AO931" t="str">
        <f>HYPERLINK("https://transparencia.cidesi.mx/comprobantes/2021/CQ2100549 /C6FACTURA_1627049607047_338028207.xml")</f>
        <v>https://transparencia.cidesi.mx/comprobantes/2021/CQ2100549 /C6FACTURA_1627049607047_338028207.xml</v>
      </c>
      <c r="AP931" t="s">
        <v>1770</v>
      </c>
      <c r="AQ931" t="e">
        <f>+ Selección de elementos, patrones e instrumentos para realizar la calibración y elaboración de lista de material y equipo  + Transporte de CIDESI a Volks Wagen + Tramite de ingreso a planta + Descarga de matrial y equipo + Instalación de tuberia para realizar las mediciones correspondientes + Toma de los datos generados de las mediciones + Orden y limpieza del área de trabajo + Carga de material y equipo + Transporte de Volks Wagen, Puebla  hacía las instalaciones de CIDESI</f>
        <v>#NAME?</v>
      </c>
      <c r="AR931" t="s">
        <v>1771</v>
      </c>
      <c r="AS931" t="s">
        <v>1772</v>
      </c>
      <c r="AT931" s="1">
        <v>44405</v>
      </c>
      <c r="AU931" s="1">
        <v>44420</v>
      </c>
    </row>
    <row r="932" spans="1:47" x14ac:dyDescent="0.3">
      <c r="A932" t="s">
        <v>246</v>
      </c>
      <c r="B932" t="s">
        <v>182</v>
      </c>
      <c r="C932" t="s">
        <v>183</v>
      </c>
      <c r="D932">
        <v>9112</v>
      </c>
      <c r="E932" t="s">
        <v>1764</v>
      </c>
      <c r="F932" t="s">
        <v>351</v>
      </c>
      <c r="G932" t="s">
        <v>1765</v>
      </c>
      <c r="H932" t="s">
        <v>1766</v>
      </c>
      <c r="I932" t="s">
        <v>54</v>
      </c>
      <c r="J932" t="s">
        <v>1767</v>
      </c>
      <c r="K932" t="s">
        <v>56</v>
      </c>
      <c r="L932">
        <v>0</v>
      </c>
      <c r="M932" t="s">
        <v>73</v>
      </c>
      <c r="N932">
        <v>0</v>
      </c>
      <c r="O932" t="s">
        <v>58</v>
      </c>
      <c r="P932" t="s">
        <v>59</v>
      </c>
      <c r="Q932" t="s">
        <v>738</v>
      </c>
      <c r="R932" t="s">
        <v>1767</v>
      </c>
      <c r="S932" s="1">
        <v>44395</v>
      </c>
      <c r="T932" s="1">
        <v>44401</v>
      </c>
      <c r="U932">
        <v>37501</v>
      </c>
      <c r="V932" t="s">
        <v>61</v>
      </c>
      <c r="W932" t="s">
        <v>1768</v>
      </c>
      <c r="X932" s="1">
        <v>44403</v>
      </c>
      <c r="Y932" t="s">
        <v>63</v>
      </c>
      <c r="Z932">
        <v>298.27999999999997</v>
      </c>
      <c r="AA932">
        <v>16</v>
      </c>
      <c r="AB932">
        <v>47.72</v>
      </c>
      <c r="AC932">
        <v>34.6</v>
      </c>
      <c r="AD932">
        <v>380.6</v>
      </c>
      <c r="AE932">
        <v>3473.78</v>
      </c>
      <c r="AF932">
        <v>7091</v>
      </c>
      <c r="AG932" t="s">
        <v>1769</v>
      </c>
      <c r="AH932" t="s">
        <v>65</v>
      </c>
      <c r="AI932" t="s">
        <v>65</v>
      </c>
      <c r="AJ932" t="s">
        <v>66</v>
      </c>
      <c r="AK932" t="s">
        <v>66</v>
      </c>
      <c r="AL932" t="s">
        <v>66</v>
      </c>
      <c r="AM932" s="2" t="str">
        <f>HYPERLINK("https://transparencia.cidesi.mx/comprobantes/2021/CQ2100549 /C7CID840309UG7_TIWEBDF6449967.pdf")</f>
        <v>https://transparencia.cidesi.mx/comprobantes/2021/CQ2100549 /C7CID840309UG7_TIWEBDF6449967.pdf</v>
      </c>
      <c r="AN932" t="str">
        <f>HYPERLINK("https://transparencia.cidesi.mx/comprobantes/2021/CQ2100549 /C7CID840309UG7_TIWEBDF6449967.pdf")</f>
        <v>https://transparencia.cidesi.mx/comprobantes/2021/CQ2100549 /C7CID840309UG7_TIWEBDF6449967.pdf</v>
      </c>
      <c r="AO932" t="str">
        <f>HYPERLINK("https://transparencia.cidesi.mx/comprobantes/2021/CQ2100549 /C7CID840309UG7_TIWEBDF6449967.xml")</f>
        <v>https://transparencia.cidesi.mx/comprobantes/2021/CQ2100549 /C7CID840309UG7_TIWEBDF6449967.xml</v>
      </c>
      <c r="AP932" t="s">
        <v>1770</v>
      </c>
      <c r="AQ932" t="e">
        <f>+ Selección de elementos, patrones e instrumentos para realizar la calibración y elaboración de lista de material y equipo  + Transporte de CIDESI a Volks Wagen + Tramite de ingreso a planta + Descarga de matrial y equipo + Instalación de tuberia para realizar las mediciones correspondientes + Toma de los datos generados de las mediciones + Orden y limpieza del área de trabajo + Carga de material y equipo + Transporte de Volks Wagen, Puebla  hacía las instalaciones de CIDESI</f>
        <v>#NAME?</v>
      </c>
      <c r="AR932" t="s">
        <v>1771</v>
      </c>
      <c r="AS932" t="s">
        <v>1772</v>
      </c>
      <c r="AT932" s="1">
        <v>44405</v>
      </c>
      <c r="AU932" s="1">
        <v>44420</v>
      </c>
    </row>
    <row r="933" spans="1:47" x14ac:dyDescent="0.3">
      <c r="A933" t="s">
        <v>47</v>
      </c>
      <c r="B933" t="s">
        <v>224</v>
      </c>
      <c r="C933" t="s">
        <v>225</v>
      </c>
      <c r="D933">
        <v>9121</v>
      </c>
      <c r="E933" t="s">
        <v>722</v>
      </c>
      <c r="F933" t="s">
        <v>1774</v>
      </c>
      <c r="G933" t="s">
        <v>1250</v>
      </c>
      <c r="H933" t="s">
        <v>1775</v>
      </c>
      <c r="I933" t="s">
        <v>54</v>
      </c>
      <c r="J933" t="s">
        <v>1776</v>
      </c>
      <c r="K933" t="s">
        <v>56</v>
      </c>
      <c r="L933">
        <v>0</v>
      </c>
      <c r="M933" t="s">
        <v>73</v>
      </c>
      <c r="N933">
        <v>0</v>
      </c>
      <c r="O933" t="s">
        <v>58</v>
      </c>
      <c r="P933" t="s">
        <v>59</v>
      </c>
      <c r="Q933" t="s">
        <v>216</v>
      </c>
      <c r="R933" t="s">
        <v>1776</v>
      </c>
      <c r="S933" s="1">
        <v>44378</v>
      </c>
      <c r="T933" s="1">
        <v>44378</v>
      </c>
      <c r="U933">
        <v>37501</v>
      </c>
      <c r="V933" t="s">
        <v>61</v>
      </c>
      <c r="W933" t="s">
        <v>1777</v>
      </c>
      <c r="X933" s="1">
        <v>44382</v>
      </c>
      <c r="Y933" t="s">
        <v>63</v>
      </c>
      <c r="Z933">
        <v>312.07</v>
      </c>
      <c r="AA933">
        <v>16</v>
      </c>
      <c r="AB933">
        <v>49.93</v>
      </c>
      <c r="AC933">
        <v>38</v>
      </c>
      <c r="AD933">
        <v>400</v>
      </c>
      <c r="AE933">
        <v>400</v>
      </c>
      <c r="AF933">
        <v>545</v>
      </c>
      <c r="AG933" t="s">
        <v>1778</v>
      </c>
      <c r="AH933" t="s">
        <v>65</v>
      </c>
      <c r="AI933" t="s">
        <v>65</v>
      </c>
      <c r="AJ933" t="s">
        <v>66</v>
      </c>
      <c r="AK933" t="s">
        <v>66</v>
      </c>
      <c r="AL933" t="s">
        <v>66</v>
      </c>
      <c r="AM933" s="2" t="str">
        <f>HYPERLINK("https://transparencia.cidesi.mx/comprobantes/2021/CQ2100457 /C118700_SGI140703AN8.pdf")</f>
        <v>https://transparencia.cidesi.mx/comprobantes/2021/CQ2100457 /C118700_SGI140703AN8.pdf</v>
      </c>
      <c r="AN933" t="str">
        <f>HYPERLINK("https://transparencia.cidesi.mx/comprobantes/2021/CQ2100457 /C118700_SGI140703AN8.pdf")</f>
        <v>https://transparencia.cidesi.mx/comprobantes/2021/CQ2100457 /C118700_SGI140703AN8.pdf</v>
      </c>
      <c r="AO933" t="str">
        <f>HYPERLINK("https://transparencia.cidesi.mx/comprobantes/2021/CQ2100457 /C118700_SGI140703AN8.xml")</f>
        <v>https://transparencia.cidesi.mx/comprobantes/2021/CQ2100457 /C118700_SGI140703AN8.xml</v>
      </c>
      <c r="AP933" t="s">
        <v>1779</v>
      </c>
      <c r="AQ933" t="s">
        <v>1780</v>
      </c>
      <c r="AR933" t="s">
        <v>1779</v>
      </c>
      <c r="AS933" t="s">
        <v>1781</v>
      </c>
      <c r="AT933" s="1">
        <v>44385</v>
      </c>
      <c r="AU933" s="1">
        <v>44389</v>
      </c>
    </row>
    <row r="934" spans="1:47" x14ac:dyDescent="0.3">
      <c r="A934" t="s">
        <v>47</v>
      </c>
      <c r="B934" t="s">
        <v>224</v>
      </c>
      <c r="C934" t="s">
        <v>225</v>
      </c>
      <c r="D934">
        <v>9121</v>
      </c>
      <c r="E934" t="s">
        <v>722</v>
      </c>
      <c r="F934" t="s">
        <v>1774</v>
      </c>
      <c r="G934" t="s">
        <v>1250</v>
      </c>
      <c r="H934" t="s">
        <v>1782</v>
      </c>
      <c r="I934" t="s">
        <v>54</v>
      </c>
      <c r="J934" t="s">
        <v>1776</v>
      </c>
      <c r="K934" t="s">
        <v>56</v>
      </c>
      <c r="L934">
        <v>0</v>
      </c>
      <c r="M934" t="s">
        <v>73</v>
      </c>
      <c r="N934">
        <v>0</v>
      </c>
      <c r="O934" t="s">
        <v>58</v>
      </c>
      <c r="P934" t="s">
        <v>59</v>
      </c>
      <c r="Q934" t="s">
        <v>216</v>
      </c>
      <c r="R934" t="s">
        <v>1776</v>
      </c>
      <c r="S934" s="1">
        <v>44379</v>
      </c>
      <c r="T934" s="1">
        <v>44379</v>
      </c>
      <c r="U934">
        <v>37501</v>
      </c>
      <c r="V934" t="s">
        <v>61</v>
      </c>
      <c r="W934" t="s">
        <v>1783</v>
      </c>
      <c r="X934" s="1">
        <v>44382</v>
      </c>
      <c r="Y934" t="s">
        <v>63</v>
      </c>
      <c r="Z934">
        <v>383</v>
      </c>
      <c r="AA934">
        <v>16</v>
      </c>
      <c r="AB934">
        <v>61.28</v>
      </c>
      <c r="AC934">
        <v>44.42</v>
      </c>
      <c r="AD934">
        <v>488.7</v>
      </c>
      <c r="AE934">
        <v>488.7</v>
      </c>
      <c r="AF934">
        <v>545</v>
      </c>
      <c r="AG934" t="s">
        <v>1778</v>
      </c>
      <c r="AH934" t="s">
        <v>65</v>
      </c>
      <c r="AI934" t="s">
        <v>65</v>
      </c>
      <c r="AJ934" t="s">
        <v>66</v>
      </c>
      <c r="AK934" t="s">
        <v>66</v>
      </c>
      <c r="AL934" t="s">
        <v>66</v>
      </c>
      <c r="AM934" s="2" t="str">
        <f>HYPERLINK("https://transparencia.cidesi.mx/comprobantes/2021/CQ2100458 /C1F55354_RIGR660209GT4.pdf")</f>
        <v>https://transparencia.cidesi.mx/comprobantes/2021/CQ2100458 /C1F55354_RIGR660209GT4.pdf</v>
      </c>
      <c r="AN934" t="str">
        <f>HYPERLINK("https://transparencia.cidesi.mx/comprobantes/2021/CQ2100458 /C1F55354_RIGR660209GT4.pdf")</f>
        <v>https://transparencia.cidesi.mx/comprobantes/2021/CQ2100458 /C1F55354_RIGR660209GT4.pdf</v>
      </c>
      <c r="AO934" t="str">
        <f>HYPERLINK("https://transparencia.cidesi.mx/comprobantes/2021/CQ2100458 /C1F55354_RIGR660209GT4.xml")</f>
        <v>https://transparencia.cidesi.mx/comprobantes/2021/CQ2100458 /C1F55354_RIGR660209GT4.xml</v>
      </c>
      <c r="AP934" t="s">
        <v>1779</v>
      </c>
      <c r="AQ934" t="s">
        <v>1780</v>
      </c>
      <c r="AR934" t="s">
        <v>1779</v>
      </c>
      <c r="AS934" t="s">
        <v>1784</v>
      </c>
      <c r="AT934" s="1">
        <v>44385</v>
      </c>
      <c r="AU934" s="1">
        <v>44389</v>
      </c>
    </row>
    <row r="935" spans="1:47" x14ac:dyDescent="0.3">
      <c r="A935" t="s">
        <v>47</v>
      </c>
      <c r="B935" t="s">
        <v>224</v>
      </c>
      <c r="C935" t="s">
        <v>225</v>
      </c>
      <c r="D935">
        <v>9121</v>
      </c>
      <c r="E935" t="s">
        <v>722</v>
      </c>
      <c r="F935" t="s">
        <v>1774</v>
      </c>
      <c r="G935" t="s">
        <v>1250</v>
      </c>
      <c r="H935" t="s">
        <v>1785</v>
      </c>
      <c r="I935" t="s">
        <v>54</v>
      </c>
      <c r="J935" t="s">
        <v>1776</v>
      </c>
      <c r="K935" t="s">
        <v>56</v>
      </c>
      <c r="L935">
        <v>0</v>
      </c>
      <c r="M935" t="s">
        <v>73</v>
      </c>
      <c r="N935">
        <v>0</v>
      </c>
      <c r="O935" t="s">
        <v>58</v>
      </c>
      <c r="P935" t="s">
        <v>59</v>
      </c>
      <c r="Q935" t="s">
        <v>216</v>
      </c>
      <c r="R935" t="s">
        <v>1776</v>
      </c>
      <c r="S935" s="1">
        <v>44382</v>
      </c>
      <c r="T935" s="1">
        <v>44382</v>
      </c>
      <c r="U935">
        <v>37501</v>
      </c>
      <c r="V935" t="s">
        <v>61</v>
      </c>
      <c r="W935" t="s">
        <v>1786</v>
      </c>
      <c r="X935" s="1">
        <v>44384</v>
      </c>
      <c r="Y935" t="s">
        <v>63</v>
      </c>
      <c r="Z935">
        <v>377.59</v>
      </c>
      <c r="AA935">
        <v>16</v>
      </c>
      <c r="AB935">
        <v>60.41</v>
      </c>
      <c r="AC935">
        <v>44</v>
      </c>
      <c r="AD935">
        <v>482</v>
      </c>
      <c r="AE935">
        <v>482</v>
      </c>
      <c r="AF935">
        <v>545</v>
      </c>
      <c r="AG935" t="s">
        <v>1778</v>
      </c>
      <c r="AH935" t="s">
        <v>65</v>
      </c>
      <c r="AI935" t="s">
        <v>65</v>
      </c>
      <c r="AJ935" t="s">
        <v>66</v>
      </c>
      <c r="AK935" t="s">
        <v>66</v>
      </c>
      <c r="AL935" t="s">
        <v>66</v>
      </c>
      <c r="AM935" s="2" t="str">
        <f>HYPERLINK("https://transparencia.cidesi.mx/comprobantes/2021/CQ2100476 /C118718_SGI140703AN8.pdf")</f>
        <v>https://transparencia.cidesi.mx/comprobantes/2021/CQ2100476 /C118718_SGI140703AN8.pdf</v>
      </c>
      <c r="AN935" t="str">
        <f>HYPERLINK("https://transparencia.cidesi.mx/comprobantes/2021/CQ2100476 /C118718_SGI140703AN8.pdf")</f>
        <v>https://transparencia.cidesi.mx/comprobantes/2021/CQ2100476 /C118718_SGI140703AN8.pdf</v>
      </c>
      <c r="AO935" t="str">
        <f>HYPERLINK("https://transparencia.cidesi.mx/comprobantes/2021/CQ2100476 /C118718_SGI140703AN8.xml")</f>
        <v>https://transparencia.cidesi.mx/comprobantes/2021/CQ2100476 /C118718_SGI140703AN8.xml</v>
      </c>
      <c r="AP935" t="s">
        <v>1779</v>
      </c>
      <c r="AQ935" t="s">
        <v>1787</v>
      </c>
      <c r="AR935" t="s">
        <v>1779</v>
      </c>
      <c r="AS935" t="s">
        <v>1781</v>
      </c>
      <c r="AT935" s="1">
        <v>44385</v>
      </c>
      <c r="AU935" s="1">
        <v>44389</v>
      </c>
    </row>
    <row r="936" spans="1:47" x14ac:dyDescent="0.3">
      <c r="A936" t="s">
        <v>47</v>
      </c>
      <c r="B936" t="s">
        <v>224</v>
      </c>
      <c r="C936" t="s">
        <v>225</v>
      </c>
      <c r="D936">
        <v>9121</v>
      </c>
      <c r="E936" t="s">
        <v>722</v>
      </c>
      <c r="F936" t="s">
        <v>1774</v>
      </c>
      <c r="G936" t="s">
        <v>1250</v>
      </c>
      <c r="H936" t="s">
        <v>1788</v>
      </c>
      <c r="I936" t="s">
        <v>54</v>
      </c>
      <c r="J936" t="s">
        <v>1789</v>
      </c>
      <c r="K936" t="s">
        <v>56</v>
      </c>
      <c r="L936">
        <v>0</v>
      </c>
      <c r="M936" t="s">
        <v>73</v>
      </c>
      <c r="N936">
        <v>0</v>
      </c>
      <c r="O936" t="s">
        <v>58</v>
      </c>
      <c r="P936" t="s">
        <v>59</v>
      </c>
      <c r="Q936" t="s">
        <v>216</v>
      </c>
      <c r="R936" t="s">
        <v>1789</v>
      </c>
      <c r="S936" s="1">
        <v>44383</v>
      </c>
      <c r="T936" s="1">
        <v>44383</v>
      </c>
      <c r="U936">
        <v>37501</v>
      </c>
      <c r="V936" t="s">
        <v>61</v>
      </c>
      <c r="W936" t="s">
        <v>1790</v>
      </c>
      <c r="X936" s="1">
        <v>44384</v>
      </c>
      <c r="Y936" t="s">
        <v>63</v>
      </c>
      <c r="Z936">
        <v>350</v>
      </c>
      <c r="AA936">
        <v>16</v>
      </c>
      <c r="AB936">
        <v>56</v>
      </c>
      <c r="AC936">
        <v>41</v>
      </c>
      <c r="AD936">
        <v>447</v>
      </c>
      <c r="AE936">
        <v>447</v>
      </c>
      <c r="AF936">
        <v>545</v>
      </c>
      <c r="AG936" t="s">
        <v>1778</v>
      </c>
      <c r="AH936" t="s">
        <v>65</v>
      </c>
      <c r="AI936" t="s">
        <v>65</v>
      </c>
      <c r="AJ936" t="s">
        <v>66</v>
      </c>
      <c r="AK936" t="s">
        <v>66</v>
      </c>
      <c r="AL936" t="s">
        <v>66</v>
      </c>
      <c r="AM936" s="2" t="str">
        <f>HYPERLINK("https://transparencia.cidesi.mx/comprobantes/2021/CQ2100477 /C121562_MME140321PZ3.pdf")</f>
        <v>https://transparencia.cidesi.mx/comprobantes/2021/CQ2100477 /C121562_MME140321PZ3.pdf</v>
      </c>
      <c r="AN936" t="str">
        <f>HYPERLINK("https://transparencia.cidesi.mx/comprobantes/2021/CQ2100477 /C121562_MME140321PZ3.pdf")</f>
        <v>https://transparencia.cidesi.mx/comprobantes/2021/CQ2100477 /C121562_MME140321PZ3.pdf</v>
      </c>
      <c r="AO936" t="str">
        <f>HYPERLINK("https://transparencia.cidesi.mx/comprobantes/2021/CQ2100477 /C121562_MME140321PZ3.xml")</f>
        <v>https://transparencia.cidesi.mx/comprobantes/2021/CQ2100477 /C121562_MME140321PZ3.xml</v>
      </c>
      <c r="AP936" t="s">
        <v>1779</v>
      </c>
      <c r="AQ936" t="s">
        <v>1780</v>
      </c>
      <c r="AR936" t="s">
        <v>1779</v>
      </c>
      <c r="AS936" t="s">
        <v>1781</v>
      </c>
      <c r="AT936" s="1">
        <v>44385</v>
      </c>
      <c r="AU936" s="1">
        <v>44389</v>
      </c>
    </row>
    <row r="937" spans="1:47" x14ac:dyDescent="0.3">
      <c r="A937" t="s">
        <v>47</v>
      </c>
      <c r="B937" t="s">
        <v>224</v>
      </c>
      <c r="C937" t="s">
        <v>225</v>
      </c>
      <c r="D937">
        <v>9121</v>
      </c>
      <c r="E937" t="s">
        <v>722</v>
      </c>
      <c r="F937" t="s">
        <v>1774</v>
      </c>
      <c r="G937" t="s">
        <v>1250</v>
      </c>
      <c r="H937" t="s">
        <v>1791</v>
      </c>
      <c r="I937" t="s">
        <v>54</v>
      </c>
      <c r="J937" t="s">
        <v>1789</v>
      </c>
      <c r="K937" t="s">
        <v>56</v>
      </c>
      <c r="L937">
        <v>0</v>
      </c>
      <c r="M937" t="s">
        <v>73</v>
      </c>
      <c r="N937">
        <v>0</v>
      </c>
      <c r="O937" t="s">
        <v>58</v>
      </c>
      <c r="P937" t="s">
        <v>59</v>
      </c>
      <c r="Q937" t="s">
        <v>216</v>
      </c>
      <c r="R937" t="s">
        <v>1789</v>
      </c>
      <c r="S937" s="1">
        <v>44384</v>
      </c>
      <c r="T937" s="1">
        <v>44384</v>
      </c>
      <c r="U937">
        <v>37501</v>
      </c>
      <c r="V937" t="s">
        <v>61</v>
      </c>
      <c r="W937" t="s">
        <v>1792</v>
      </c>
      <c r="X937" s="1">
        <v>44385</v>
      </c>
      <c r="Y937" t="s">
        <v>63</v>
      </c>
      <c r="Z937">
        <v>331.9</v>
      </c>
      <c r="AA937">
        <v>16</v>
      </c>
      <c r="AB937">
        <v>53.1</v>
      </c>
      <c r="AC937">
        <v>40</v>
      </c>
      <c r="AD937">
        <v>425</v>
      </c>
      <c r="AE937">
        <v>425</v>
      </c>
      <c r="AF937">
        <v>545</v>
      </c>
      <c r="AG937" t="s">
        <v>1778</v>
      </c>
      <c r="AH937" t="s">
        <v>65</v>
      </c>
      <c r="AI937" t="s">
        <v>65</v>
      </c>
      <c r="AJ937" t="s">
        <v>66</v>
      </c>
      <c r="AK937" t="s">
        <v>66</v>
      </c>
      <c r="AL937" t="s">
        <v>66</v>
      </c>
      <c r="AM937" s="2" t="str">
        <f>HYPERLINK("https://transparencia.cidesi.mx/comprobantes/2021/CQ2100483 /C118740_SGI140703AN8.pdf")</f>
        <v>https://transparencia.cidesi.mx/comprobantes/2021/CQ2100483 /C118740_SGI140703AN8.pdf</v>
      </c>
      <c r="AN937" t="str">
        <f>HYPERLINK("https://transparencia.cidesi.mx/comprobantes/2021/CQ2100483 /C118740_SGI140703AN8.pdf")</f>
        <v>https://transparencia.cidesi.mx/comprobantes/2021/CQ2100483 /C118740_SGI140703AN8.pdf</v>
      </c>
      <c r="AO937" t="str">
        <f>HYPERLINK("https://transparencia.cidesi.mx/comprobantes/2021/CQ2100483 /C118740_SGI140703AN8.xml")</f>
        <v>https://transparencia.cidesi.mx/comprobantes/2021/CQ2100483 /C118740_SGI140703AN8.xml</v>
      </c>
      <c r="AP937" t="s">
        <v>1779</v>
      </c>
      <c r="AQ937" t="s">
        <v>1780</v>
      </c>
      <c r="AR937" t="s">
        <v>1779</v>
      </c>
      <c r="AS937" t="s">
        <v>1781</v>
      </c>
      <c r="AT937" s="1">
        <v>44385</v>
      </c>
      <c r="AU937" s="1">
        <v>44389</v>
      </c>
    </row>
    <row r="938" spans="1:47" x14ac:dyDescent="0.3">
      <c r="A938" t="s">
        <v>47</v>
      </c>
      <c r="B938" t="s">
        <v>224</v>
      </c>
      <c r="C938" t="s">
        <v>225</v>
      </c>
      <c r="D938">
        <v>9121</v>
      </c>
      <c r="E938" t="s">
        <v>722</v>
      </c>
      <c r="F938" t="s">
        <v>1774</v>
      </c>
      <c r="G938" t="s">
        <v>1250</v>
      </c>
      <c r="H938" t="s">
        <v>1793</v>
      </c>
      <c r="I938" t="s">
        <v>54</v>
      </c>
      <c r="J938" t="s">
        <v>1776</v>
      </c>
      <c r="K938" t="s">
        <v>56</v>
      </c>
      <c r="L938">
        <v>0</v>
      </c>
      <c r="M938" t="s">
        <v>73</v>
      </c>
      <c r="N938">
        <v>0</v>
      </c>
      <c r="O938" t="s">
        <v>58</v>
      </c>
      <c r="P938" t="s">
        <v>59</v>
      </c>
      <c r="Q938" t="s">
        <v>216</v>
      </c>
      <c r="R938" t="s">
        <v>1776</v>
      </c>
      <c r="S938" s="1">
        <v>44399</v>
      </c>
      <c r="T938" s="1">
        <v>44400</v>
      </c>
      <c r="U938">
        <v>37501</v>
      </c>
      <c r="V938" t="s">
        <v>61</v>
      </c>
      <c r="W938" t="s">
        <v>1794</v>
      </c>
      <c r="X938" s="1">
        <v>44404</v>
      </c>
      <c r="Y938" t="s">
        <v>63</v>
      </c>
      <c r="Z938">
        <v>305.17</v>
      </c>
      <c r="AA938">
        <v>16</v>
      </c>
      <c r="AB938">
        <v>48.83</v>
      </c>
      <c r="AC938">
        <v>36</v>
      </c>
      <c r="AD938">
        <v>390</v>
      </c>
      <c r="AE938">
        <v>1416</v>
      </c>
      <c r="AF938">
        <v>1636</v>
      </c>
      <c r="AG938" t="s">
        <v>1778</v>
      </c>
      <c r="AH938" t="s">
        <v>65</v>
      </c>
      <c r="AI938" t="s">
        <v>65</v>
      </c>
      <c r="AJ938" t="s">
        <v>66</v>
      </c>
      <c r="AK938" t="s">
        <v>66</v>
      </c>
      <c r="AL938" t="s">
        <v>66</v>
      </c>
      <c r="AM938" s="2" t="str">
        <f>HYPERLINK("https://transparencia.cidesi.mx/comprobantes/2021/CQ2100551 /C118929_SGI140703AN8.pdf")</f>
        <v>https://transparencia.cidesi.mx/comprobantes/2021/CQ2100551 /C118929_SGI140703AN8.pdf</v>
      </c>
      <c r="AN938" t="str">
        <f>HYPERLINK("https://transparencia.cidesi.mx/comprobantes/2021/CQ2100551 /C118929_SGI140703AN8.pdf")</f>
        <v>https://transparencia.cidesi.mx/comprobantes/2021/CQ2100551 /C118929_SGI140703AN8.pdf</v>
      </c>
      <c r="AO938" t="str">
        <f>HYPERLINK("https://transparencia.cidesi.mx/comprobantes/2021/CQ2100551 /C118929_SGI140703AN8.xml")</f>
        <v>https://transparencia.cidesi.mx/comprobantes/2021/CQ2100551 /C118929_SGI140703AN8.xml</v>
      </c>
      <c r="AP938" t="s">
        <v>1779</v>
      </c>
      <c r="AQ938" t="s">
        <v>1795</v>
      </c>
      <c r="AR938" t="s">
        <v>1796</v>
      </c>
      <c r="AS938" t="s">
        <v>1781</v>
      </c>
      <c r="AT938" s="1">
        <v>44405</v>
      </c>
      <c r="AU938" s="1">
        <v>44424</v>
      </c>
    </row>
    <row r="939" spans="1:47" x14ac:dyDescent="0.3">
      <c r="A939" t="s">
        <v>47</v>
      </c>
      <c r="B939" t="s">
        <v>224</v>
      </c>
      <c r="C939" t="s">
        <v>225</v>
      </c>
      <c r="D939">
        <v>9121</v>
      </c>
      <c r="E939" t="s">
        <v>722</v>
      </c>
      <c r="F939" t="s">
        <v>1774</v>
      </c>
      <c r="G939" t="s">
        <v>1250</v>
      </c>
      <c r="H939" t="s">
        <v>1793</v>
      </c>
      <c r="I939" t="s">
        <v>54</v>
      </c>
      <c r="J939" t="s">
        <v>1776</v>
      </c>
      <c r="K939" t="s">
        <v>56</v>
      </c>
      <c r="L939">
        <v>0</v>
      </c>
      <c r="M939" t="s">
        <v>73</v>
      </c>
      <c r="N939">
        <v>0</v>
      </c>
      <c r="O939" t="s">
        <v>58</v>
      </c>
      <c r="P939" t="s">
        <v>59</v>
      </c>
      <c r="Q939" t="s">
        <v>216</v>
      </c>
      <c r="R939" t="s">
        <v>1776</v>
      </c>
      <c r="S939" s="1">
        <v>44399</v>
      </c>
      <c r="T939" s="1">
        <v>44400</v>
      </c>
      <c r="U939">
        <v>37501</v>
      </c>
      <c r="V939" t="s">
        <v>104</v>
      </c>
      <c r="W939" t="s">
        <v>1794</v>
      </c>
      <c r="X939" s="1">
        <v>44404</v>
      </c>
      <c r="Y939" t="s">
        <v>63</v>
      </c>
      <c r="Z939">
        <v>416</v>
      </c>
      <c r="AA939">
        <v>16</v>
      </c>
      <c r="AB939">
        <v>64</v>
      </c>
      <c r="AC939">
        <v>0</v>
      </c>
      <c r="AD939">
        <v>480</v>
      </c>
      <c r="AE939">
        <v>1416</v>
      </c>
      <c r="AF939">
        <v>1636</v>
      </c>
      <c r="AG939" t="s">
        <v>1797</v>
      </c>
      <c r="AH939" t="s">
        <v>65</v>
      </c>
      <c r="AI939" t="s">
        <v>65</v>
      </c>
      <c r="AJ939" t="s">
        <v>66</v>
      </c>
      <c r="AK939" t="s">
        <v>66</v>
      </c>
      <c r="AL939" t="s">
        <v>66</v>
      </c>
      <c r="AM939" s="2" t="str">
        <f>HYPERLINK("https://transparencia.cidesi.mx/comprobantes/2021/CQ2100551 /C2H470_CARE0201149U2.pdf")</f>
        <v>https://transparencia.cidesi.mx/comprobantes/2021/CQ2100551 /C2H470_CARE0201149U2.pdf</v>
      </c>
      <c r="AN939" t="str">
        <f>HYPERLINK("https://transparencia.cidesi.mx/comprobantes/2021/CQ2100551 /C2H470_CARE0201149U2.pdf")</f>
        <v>https://transparencia.cidesi.mx/comprobantes/2021/CQ2100551 /C2H470_CARE0201149U2.pdf</v>
      </c>
      <c r="AO939" t="str">
        <f>HYPERLINK("https://transparencia.cidesi.mx/comprobantes/2021/CQ2100551 /C2H470_CARE0201149U2.xml")</f>
        <v>https://transparencia.cidesi.mx/comprobantes/2021/CQ2100551 /C2H470_CARE0201149U2.xml</v>
      </c>
      <c r="AP939" t="s">
        <v>1779</v>
      </c>
      <c r="AQ939" t="s">
        <v>1795</v>
      </c>
      <c r="AR939" t="s">
        <v>1796</v>
      </c>
      <c r="AS939" t="s">
        <v>1781</v>
      </c>
      <c r="AT939" s="1">
        <v>44405</v>
      </c>
      <c r="AU939" s="1">
        <v>44424</v>
      </c>
    </row>
    <row r="940" spans="1:47" x14ac:dyDescent="0.3">
      <c r="A940" t="s">
        <v>47</v>
      </c>
      <c r="B940" t="s">
        <v>224</v>
      </c>
      <c r="C940" t="s">
        <v>225</v>
      </c>
      <c r="D940">
        <v>9121</v>
      </c>
      <c r="E940" t="s">
        <v>722</v>
      </c>
      <c r="F940" t="s">
        <v>1774</v>
      </c>
      <c r="G940" t="s">
        <v>1250</v>
      </c>
      <c r="H940" t="s">
        <v>1793</v>
      </c>
      <c r="I940" t="s">
        <v>54</v>
      </c>
      <c r="J940" t="s">
        <v>1776</v>
      </c>
      <c r="K940" t="s">
        <v>56</v>
      </c>
      <c r="L940">
        <v>0</v>
      </c>
      <c r="M940" t="s">
        <v>73</v>
      </c>
      <c r="N940">
        <v>0</v>
      </c>
      <c r="O940" t="s">
        <v>58</v>
      </c>
      <c r="P940" t="s">
        <v>59</v>
      </c>
      <c r="Q940" t="s">
        <v>216</v>
      </c>
      <c r="R940" t="s">
        <v>1776</v>
      </c>
      <c r="S940" s="1">
        <v>44399</v>
      </c>
      <c r="T940" s="1">
        <v>44400</v>
      </c>
      <c r="U940">
        <v>37501</v>
      </c>
      <c r="V940" t="s">
        <v>61</v>
      </c>
      <c r="W940" t="s">
        <v>1794</v>
      </c>
      <c r="X940" s="1">
        <v>44404</v>
      </c>
      <c r="Y940" t="s">
        <v>63</v>
      </c>
      <c r="Z940">
        <v>427.59</v>
      </c>
      <c r="AA940">
        <v>16</v>
      </c>
      <c r="AB940">
        <v>68.41</v>
      </c>
      <c r="AC940">
        <v>50</v>
      </c>
      <c r="AD940">
        <v>546</v>
      </c>
      <c r="AE940">
        <v>1416</v>
      </c>
      <c r="AF940">
        <v>1636</v>
      </c>
      <c r="AG940" t="s">
        <v>1778</v>
      </c>
      <c r="AH940" t="s">
        <v>65</v>
      </c>
      <c r="AI940" t="s">
        <v>65</v>
      </c>
      <c r="AJ940" t="s">
        <v>66</v>
      </c>
      <c r="AK940" t="s">
        <v>66</v>
      </c>
      <c r="AL940" t="s">
        <v>66</v>
      </c>
      <c r="AM940" s="2" t="str">
        <f>HYPERLINK("https://transparencia.cidesi.mx/comprobantes/2021/CQ2100551 /C316525_TAAC5505297IA.pdf")</f>
        <v>https://transparencia.cidesi.mx/comprobantes/2021/CQ2100551 /C316525_TAAC5505297IA.pdf</v>
      </c>
      <c r="AN940" t="str">
        <f>HYPERLINK("https://transparencia.cidesi.mx/comprobantes/2021/CQ2100551 /C316525_TAAC5505297IA.pdf")</f>
        <v>https://transparencia.cidesi.mx/comprobantes/2021/CQ2100551 /C316525_TAAC5505297IA.pdf</v>
      </c>
      <c r="AO940" t="str">
        <f>HYPERLINK("https://transparencia.cidesi.mx/comprobantes/2021/CQ2100551 /C316525_TAAC5505297IA.xml")</f>
        <v>https://transparencia.cidesi.mx/comprobantes/2021/CQ2100551 /C316525_TAAC5505297IA.xml</v>
      </c>
      <c r="AP940" t="s">
        <v>1779</v>
      </c>
      <c r="AQ940" t="s">
        <v>1795</v>
      </c>
      <c r="AR940" t="s">
        <v>1796</v>
      </c>
      <c r="AS940" t="s">
        <v>1781</v>
      </c>
      <c r="AT940" s="1">
        <v>44405</v>
      </c>
      <c r="AU940" s="1">
        <v>44424</v>
      </c>
    </row>
    <row r="941" spans="1:47" x14ac:dyDescent="0.3">
      <c r="A941" t="s">
        <v>47</v>
      </c>
      <c r="B941" t="s">
        <v>224</v>
      </c>
      <c r="C941" t="s">
        <v>225</v>
      </c>
      <c r="D941">
        <v>9121</v>
      </c>
      <c r="E941" t="s">
        <v>722</v>
      </c>
      <c r="F941" t="s">
        <v>1774</v>
      </c>
      <c r="G941" t="s">
        <v>1250</v>
      </c>
      <c r="H941" t="s">
        <v>1798</v>
      </c>
      <c r="I941" t="s">
        <v>54</v>
      </c>
      <c r="J941" t="s">
        <v>1799</v>
      </c>
      <c r="K941" t="s">
        <v>56</v>
      </c>
      <c r="L941">
        <v>0</v>
      </c>
      <c r="M941" t="s">
        <v>73</v>
      </c>
      <c r="N941">
        <v>0</v>
      </c>
      <c r="O941" t="s">
        <v>58</v>
      </c>
      <c r="P941" t="s">
        <v>59</v>
      </c>
      <c r="Q941" t="s">
        <v>252</v>
      </c>
      <c r="R941" t="s">
        <v>1799</v>
      </c>
      <c r="S941" s="1">
        <v>44418</v>
      </c>
      <c r="T941" s="1">
        <v>44418</v>
      </c>
      <c r="U941">
        <v>37501</v>
      </c>
      <c r="V941" t="s">
        <v>61</v>
      </c>
      <c r="W941" t="s">
        <v>1800</v>
      </c>
      <c r="X941" s="1">
        <v>44419</v>
      </c>
      <c r="Y941" t="s">
        <v>63</v>
      </c>
      <c r="Z941">
        <v>310.33999999999997</v>
      </c>
      <c r="AA941">
        <v>16</v>
      </c>
      <c r="AB941">
        <v>49.65</v>
      </c>
      <c r="AC941">
        <v>36</v>
      </c>
      <c r="AD941">
        <v>395.99</v>
      </c>
      <c r="AE941">
        <v>395.99</v>
      </c>
      <c r="AF941">
        <v>545</v>
      </c>
      <c r="AG941" t="s">
        <v>1778</v>
      </c>
      <c r="AH941" t="s">
        <v>65</v>
      </c>
      <c r="AI941" t="s">
        <v>65</v>
      </c>
      <c r="AJ941" t="s">
        <v>66</v>
      </c>
      <c r="AK941" t="s">
        <v>66</v>
      </c>
      <c r="AL941" t="s">
        <v>66</v>
      </c>
      <c r="AM941" s="2" t="str">
        <f>HYPERLINK("https://transparencia.cidesi.mx/comprobantes/2021/CQ2100633 /C190010_GEX0108298K9.pdf")</f>
        <v>https://transparencia.cidesi.mx/comprobantes/2021/CQ2100633 /C190010_GEX0108298K9.pdf</v>
      </c>
      <c r="AN941" t="str">
        <f>HYPERLINK("https://transparencia.cidesi.mx/comprobantes/2021/CQ2100633 /C190010_GEX0108298K9.pdf")</f>
        <v>https://transparencia.cidesi.mx/comprobantes/2021/CQ2100633 /C190010_GEX0108298K9.pdf</v>
      </c>
      <c r="AO941" t="str">
        <f>HYPERLINK("https://transparencia.cidesi.mx/comprobantes/2021/CQ2100633 /C190010_GEX0108298K9.xml")</f>
        <v>https://transparencia.cidesi.mx/comprobantes/2021/CQ2100633 /C190010_GEX0108298K9.xml</v>
      </c>
      <c r="AP941" t="s">
        <v>1801</v>
      </c>
      <c r="AQ941" t="s">
        <v>1802</v>
      </c>
      <c r="AR941" t="s">
        <v>1803</v>
      </c>
      <c r="AS941" t="s">
        <v>1781</v>
      </c>
      <c r="AT941" s="1">
        <v>44421</v>
      </c>
      <c r="AU941" s="1">
        <v>44425</v>
      </c>
    </row>
    <row r="942" spans="1:47" x14ac:dyDescent="0.3">
      <c r="A942" t="s">
        <v>47</v>
      </c>
      <c r="B942" t="s">
        <v>224</v>
      </c>
      <c r="C942" t="s">
        <v>225</v>
      </c>
      <c r="D942">
        <v>9121</v>
      </c>
      <c r="E942" t="s">
        <v>722</v>
      </c>
      <c r="F942" t="s">
        <v>1774</v>
      </c>
      <c r="G942" t="s">
        <v>1250</v>
      </c>
      <c r="H942" t="s">
        <v>1804</v>
      </c>
      <c r="I942" t="s">
        <v>54</v>
      </c>
      <c r="J942" t="s">
        <v>1805</v>
      </c>
      <c r="K942" t="s">
        <v>56</v>
      </c>
      <c r="L942">
        <v>0</v>
      </c>
      <c r="M942" t="s">
        <v>73</v>
      </c>
      <c r="N942">
        <v>0</v>
      </c>
      <c r="O942" t="s">
        <v>58</v>
      </c>
      <c r="P942" t="s">
        <v>59</v>
      </c>
      <c r="Q942" t="s">
        <v>216</v>
      </c>
      <c r="R942" t="s">
        <v>1805</v>
      </c>
      <c r="S942" s="1">
        <v>44420</v>
      </c>
      <c r="T942" s="1">
        <v>44420</v>
      </c>
      <c r="U942">
        <v>37501</v>
      </c>
      <c r="V942" t="s">
        <v>61</v>
      </c>
      <c r="W942" t="s">
        <v>1806</v>
      </c>
      <c r="X942" s="1">
        <v>44424</v>
      </c>
      <c r="Y942" t="s">
        <v>63</v>
      </c>
      <c r="Z942">
        <v>168.1</v>
      </c>
      <c r="AA942">
        <v>16</v>
      </c>
      <c r="AB942">
        <v>26.9</v>
      </c>
      <c r="AC942">
        <v>0</v>
      </c>
      <c r="AD942">
        <v>195</v>
      </c>
      <c r="AE942">
        <v>195</v>
      </c>
      <c r="AF942">
        <v>545</v>
      </c>
      <c r="AG942" t="s">
        <v>1778</v>
      </c>
      <c r="AH942" t="s">
        <v>65</v>
      </c>
      <c r="AI942" t="s">
        <v>65</v>
      </c>
      <c r="AJ942" t="s">
        <v>66</v>
      </c>
      <c r="AK942" t="s">
        <v>66</v>
      </c>
      <c r="AL942" t="s">
        <v>66</v>
      </c>
      <c r="AM942" s="2" t="str">
        <f>HYPERLINK("https://transparencia.cidesi.mx/comprobantes/2021/CQ2100648 /C1HX51286_JFO901024SX4.pdf")</f>
        <v>https://transparencia.cidesi.mx/comprobantes/2021/CQ2100648 /C1HX51286_JFO901024SX4.pdf</v>
      </c>
      <c r="AN942" t="str">
        <f>HYPERLINK("https://transparencia.cidesi.mx/comprobantes/2021/CQ2100648 /C1HX51286_JFO901024SX4.pdf")</f>
        <v>https://transparencia.cidesi.mx/comprobantes/2021/CQ2100648 /C1HX51286_JFO901024SX4.pdf</v>
      </c>
      <c r="AO942" t="str">
        <f>HYPERLINK("https://transparencia.cidesi.mx/comprobantes/2021/CQ2100648 /C1HX51286_JFO901024SX4.xml")</f>
        <v>https://transparencia.cidesi.mx/comprobantes/2021/CQ2100648 /C1HX51286_JFO901024SX4.xml</v>
      </c>
      <c r="AP942" t="s">
        <v>1779</v>
      </c>
      <c r="AQ942" t="s">
        <v>1795</v>
      </c>
      <c r="AR942" t="s">
        <v>1779</v>
      </c>
      <c r="AS942" t="s">
        <v>1781</v>
      </c>
      <c r="AT942" s="1">
        <v>44424</v>
      </c>
      <c r="AU942" s="1">
        <v>44428</v>
      </c>
    </row>
    <row r="943" spans="1:47" x14ac:dyDescent="0.3">
      <c r="A943" t="s">
        <v>47</v>
      </c>
      <c r="B943" t="s">
        <v>224</v>
      </c>
      <c r="C943" t="s">
        <v>225</v>
      </c>
      <c r="D943">
        <v>9121</v>
      </c>
      <c r="E943" t="s">
        <v>722</v>
      </c>
      <c r="F943" t="s">
        <v>1774</v>
      </c>
      <c r="G943" t="s">
        <v>1250</v>
      </c>
      <c r="H943" t="s">
        <v>1807</v>
      </c>
      <c r="I943" t="s">
        <v>54</v>
      </c>
      <c r="J943" t="s">
        <v>1808</v>
      </c>
      <c r="K943" t="s">
        <v>56</v>
      </c>
      <c r="L943">
        <v>0</v>
      </c>
      <c r="M943" t="s">
        <v>73</v>
      </c>
      <c r="N943">
        <v>0</v>
      </c>
      <c r="O943" t="s">
        <v>58</v>
      </c>
      <c r="P943" t="s">
        <v>59</v>
      </c>
      <c r="Q943" t="s">
        <v>601</v>
      </c>
      <c r="R943" t="s">
        <v>1808</v>
      </c>
      <c r="S943" s="1">
        <v>44453</v>
      </c>
      <c r="T943" s="1">
        <v>44453</v>
      </c>
      <c r="U943">
        <v>37501</v>
      </c>
      <c r="V943" t="s">
        <v>61</v>
      </c>
      <c r="W943" t="s">
        <v>1809</v>
      </c>
      <c r="X943" s="1">
        <v>44454</v>
      </c>
      <c r="Y943" t="s">
        <v>63</v>
      </c>
      <c r="Z943">
        <v>278.45</v>
      </c>
      <c r="AA943">
        <v>16</v>
      </c>
      <c r="AB943">
        <v>44.55</v>
      </c>
      <c r="AC943">
        <v>32</v>
      </c>
      <c r="AD943">
        <v>355</v>
      </c>
      <c r="AE943">
        <v>355</v>
      </c>
      <c r="AF943">
        <v>545</v>
      </c>
      <c r="AG943" t="s">
        <v>1778</v>
      </c>
      <c r="AH943" t="s">
        <v>65</v>
      </c>
      <c r="AI943" t="s">
        <v>65</v>
      </c>
      <c r="AJ943" t="s">
        <v>66</v>
      </c>
      <c r="AK943" t="s">
        <v>66</v>
      </c>
      <c r="AL943" t="s">
        <v>66</v>
      </c>
      <c r="AM943" s="2" t="str">
        <f>HYPERLINK("https://transparencia.cidesi.mx/comprobantes/2021/CQ2100808 /C191316_GEX0108298K9.pdf")</f>
        <v>https://transparencia.cidesi.mx/comprobantes/2021/CQ2100808 /C191316_GEX0108298K9.pdf</v>
      </c>
      <c r="AN943" t="str">
        <f>HYPERLINK("https://transparencia.cidesi.mx/comprobantes/2021/CQ2100808 /C191316_GEX0108298K9.pdf")</f>
        <v>https://transparencia.cidesi.mx/comprobantes/2021/CQ2100808 /C191316_GEX0108298K9.pdf</v>
      </c>
      <c r="AO943" t="str">
        <f>HYPERLINK("https://transparencia.cidesi.mx/comprobantes/2021/CQ2100808 /C191316_GEX0108298K9.xml")</f>
        <v>https://transparencia.cidesi.mx/comprobantes/2021/CQ2100808 /C191316_GEX0108298K9.xml</v>
      </c>
      <c r="AP943" t="s">
        <v>1810</v>
      </c>
      <c r="AQ943" t="e">
        <f>-Tiempo detransportación CIDESI-STPS PACHUCA/CAJAPLAX-CIDESI -Entrega-recepción de EIM de RSPs y Oficio STPS de la empresa CAJAPLAX</f>
        <v>#NAME?</v>
      </c>
      <c r="AR943" t="s">
        <v>1811</v>
      </c>
      <c r="AS943" t="s">
        <v>1781</v>
      </c>
      <c r="AT943" s="1">
        <v>44454</v>
      </c>
      <c r="AU943" s="1">
        <v>44470</v>
      </c>
    </row>
    <row r="944" spans="1:47" x14ac:dyDescent="0.3">
      <c r="A944" t="s">
        <v>47</v>
      </c>
      <c r="B944" t="s">
        <v>224</v>
      </c>
      <c r="C944" t="s">
        <v>225</v>
      </c>
      <c r="D944">
        <v>9122</v>
      </c>
      <c r="E944" t="s">
        <v>1812</v>
      </c>
      <c r="F944" t="s">
        <v>1398</v>
      </c>
      <c r="G944" t="s">
        <v>912</v>
      </c>
      <c r="H944" t="s">
        <v>1813</v>
      </c>
      <c r="I944" t="s">
        <v>54</v>
      </c>
      <c r="J944" t="s">
        <v>1814</v>
      </c>
      <c r="K944" t="s">
        <v>56</v>
      </c>
      <c r="L944">
        <v>0</v>
      </c>
      <c r="M944" t="s">
        <v>73</v>
      </c>
      <c r="N944">
        <v>0</v>
      </c>
      <c r="O944" t="s">
        <v>58</v>
      </c>
      <c r="P944" t="s">
        <v>59</v>
      </c>
      <c r="Q944" t="s">
        <v>216</v>
      </c>
      <c r="R944" t="s">
        <v>1814</v>
      </c>
      <c r="S944" s="1">
        <v>44392</v>
      </c>
      <c r="T944" s="1">
        <v>44392</v>
      </c>
      <c r="U944">
        <v>37501</v>
      </c>
      <c r="V944" t="s">
        <v>61</v>
      </c>
      <c r="W944" t="s">
        <v>1815</v>
      </c>
      <c r="X944" s="1">
        <v>44396</v>
      </c>
      <c r="Y944" t="s">
        <v>63</v>
      </c>
      <c r="Z944">
        <v>418.1</v>
      </c>
      <c r="AA944">
        <v>16</v>
      </c>
      <c r="AB944">
        <v>66.900000000000006</v>
      </c>
      <c r="AC944">
        <v>49</v>
      </c>
      <c r="AD944">
        <v>534</v>
      </c>
      <c r="AE944">
        <v>534</v>
      </c>
      <c r="AF944">
        <v>545</v>
      </c>
      <c r="AG944" t="s">
        <v>1816</v>
      </c>
      <c r="AH944" t="s">
        <v>65</v>
      </c>
      <c r="AI944" t="s">
        <v>65</v>
      </c>
      <c r="AJ944" t="s">
        <v>66</v>
      </c>
      <c r="AK944" t="s">
        <v>66</v>
      </c>
      <c r="AL944" t="s">
        <v>66</v>
      </c>
      <c r="AM944" s="2" t="str">
        <f>HYPERLINK("https://transparencia.cidesi.mx/comprobantes/2021/CQ2100525 /C1AAA0000021632.pdf")</f>
        <v>https://transparencia.cidesi.mx/comprobantes/2021/CQ2100525 /C1AAA0000021632.pdf</v>
      </c>
      <c r="AN944" t="str">
        <f>HYPERLINK("https://transparencia.cidesi.mx/comprobantes/2021/CQ2100525 /C1AAA0000021632.pdf")</f>
        <v>https://transparencia.cidesi.mx/comprobantes/2021/CQ2100525 /C1AAA0000021632.pdf</v>
      </c>
      <c r="AO944" t="str">
        <f>HYPERLINK("https://transparencia.cidesi.mx/comprobantes/2021/CQ2100525 /C1AAA0000021632.xml")</f>
        <v>https://transparencia.cidesi.mx/comprobantes/2021/CQ2100525 /C1AAA0000021632.xml</v>
      </c>
      <c r="AP944" t="s">
        <v>1814</v>
      </c>
      <c r="AQ944" t="s">
        <v>1817</v>
      </c>
      <c r="AR944" t="s">
        <v>1818</v>
      </c>
      <c r="AS944" t="s">
        <v>1819</v>
      </c>
      <c r="AT944" s="1">
        <v>44398</v>
      </c>
      <c r="AU944" s="1">
        <v>44399</v>
      </c>
    </row>
    <row r="945" spans="1:47" x14ac:dyDescent="0.3">
      <c r="A945" t="s">
        <v>47</v>
      </c>
      <c r="B945" t="s">
        <v>224</v>
      </c>
      <c r="C945" t="s">
        <v>225</v>
      </c>
      <c r="D945">
        <v>9122</v>
      </c>
      <c r="E945" t="s">
        <v>1812</v>
      </c>
      <c r="F945" t="s">
        <v>1398</v>
      </c>
      <c r="G945" t="s">
        <v>912</v>
      </c>
      <c r="H945" t="s">
        <v>1820</v>
      </c>
      <c r="I945" t="s">
        <v>54</v>
      </c>
      <c r="J945" t="s">
        <v>1821</v>
      </c>
      <c r="K945" t="s">
        <v>56</v>
      </c>
      <c r="L945">
        <v>0</v>
      </c>
      <c r="M945" t="s">
        <v>73</v>
      </c>
      <c r="N945">
        <v>0</v>
      </c>
      <c r="O945" t="s">
        <v>58</v>
      </c>
      <c r="P945" t="s">
        <v>59</v>
      </c>
      <c r="Q945" t="s">
        <v>216</v>
      </c>
      <c r="R945" t="s">
        <v>1821</v>
      </c>
      <c r="S945" s="1">
        <v>44393</v>
      </c>
      <c r="T945" s="1">
        <v>44393</v>
      </c>
      <c r="U945">
        <v>37501</v>
      </c>
      <c r="V945" t="s">
        <v>61</v>
      </c>
      <c r="W945" t="s">
        <v>1822</v>
      </c>
      <c r="X945" s="1">
        <v>44396</v>
      </c>
      <c r="Y945" t="s">
        <v>63</v>
      </c>
      <c r="Z945">
        <v>120.56</v>
      </c>
      <c r="AA945">
        <v>16</v>
      </c>
      <c r="AB945">
        <v>6.34</v>
      </c>
      <c r="AC945">
        <v>0</v>
      </c>
      <c r="AD945">
        <v>126.9</v>
      </c>
      <c r="AE945">
        <v>531.9</v>
      </c>
      <c r="AF945">
        <v>545</v>
      </c>
      <c r="AG945" t="s">
        <v>1816</v>
      </c>
      <c r="AH945" t="s">
        <v>65</v>
      </c>
      <c r="AI945" t="s">
        <v>65</v>
      </c>
      <c r="AJ945" t="s">
        <v>66</v>
      </c>
      <c r="AK945" t="s">
        <v>66</v>
      </c>
      <c r="AL945" t="s">
        <v>66</v>
      </c>
      <c r="AM945" s="2" t="str">
        <f>HYPERLINK("https://transparencia.cidesi.mx/comprobantes/2021/CQ2100526 /C1FACTURA_1626701521332_337512809.pdf")</f>
        <v>https://transparencia.cidesi.mx/comprobantes/2021/CQ2100526 /C1FACTURA_1626701521332_337512809.pdf</v>
      </c>
      <c r="AN945" t="str">
        <f>HYPERLINK("https://transparencia.cidesi.mx/comprobantes/2021/CQ2100526 /C1FACTURA_1626701521332_337512809.pdf")</f>
        <v>https://transparencia.cidesi.mx/comprobantes/2021/CQ2100526 /C1FACTURA_1626701521332_337512809.pdf</v>
      </c>
      <c r="AO945" t="str">
        <f>HYPERLINK("https://transparencia.cidesi.mx/comprobantes/2021/CQ2100526 /C1FACTURA_1626701522832_337512809.xml")</f>
        <v>https://transparencia.cidesi.mx/comprobantes/2021/CQ2100526 /C1FACTURA_1626701522832_337512809.xml</v>
      </c>
      <c r="AP945" t="s">
        <v>1821</v>
      </c>
      <c r="AQ945" t="s">
        <v>1823</v>
      </c>
      <c r="AR945" t="s">
        <v>1818</v>
      </c>
      <c r="AS945" t="s">
        <v>1824</v>
      </c>
      <c r="AT945" s="1">
        <v>44398</v>
      </c>
      <c r="AU945" s="1">
        <v>44399</v>
      </c>
    </row>
    <row r="946" spans="1:47" x14ac:dyDescent="0.3">
      <c r="A946" t="s">
        <v>47</v>
      </c>
      <c r="B946" t="s">
        <v>224</v>
      </c>
      <c r="C946" t="s">
        <v>225</v>
      </c>
      <c r="D946">
        <v>9122</v>
      </c>
      <c r="E946" t="s">
        <v>1812</v>
      </c>
      <c r="F946" t="s">
        <v>1398</v>
      </c>
      <c r="G946" t="s">
        <v>912</v>
      </c>
      <c r="H946" t="s">
        <v>1820</v>
      </c>
      <c r="I946" t="s">
        <v>54</v>
      </c>
      <c r="J946" t="s">
        <v>1821</v>
      </c>
      <c r="K946" t="s">
        <v>56</v>
      </c>
      <c r="L946">
        <v>0</v>
      </c>
      <c r="M946" t="s">
        <v>73</v>
      </c>
      <c r="N946">
        <v>0</v>
      </c>
      <c r="O946" t="s">
        <v>58</v>
      </c>
      <c r="P946" t="s">
        <v>59</v>
      </c>
      <c r="Q946" t="s">
        <v>216</v>
      </c>
      <c r="R946" t="s">
        <v>1821</v>
      </c>
      <c r="S946" s="1">
        <v>44393</v>
      </c>
      <c r="T946" s="1">
        <v>44393</v>
      </c>
      <c r="U946">
        <v>37501</v>
      </c>
      <c r="V946" t="s">
        <v>61</v>
      </c>
      <c r="W946" t="s">
        <v>1822</v>
      </c>
      <c r="X946" s="1">
        <v>44396</v>
      </c>
      <c r="Y946" t="s">
        <v>63</v>
      </c>
      <c r="Z946">
        <v>317.24</v>
      </c>
      <c r="AA946">
        <v>16</v>
      </c>
      <c r="AB946">
        <v>50.76</v>
      </c>
      <c r="AC946">
        <v>37</v>
      </c>
      <c r="AD946">
        <v>405</v>
      </c>
      <c r="AE946">
        <v>531.9</v>
      </c>
      <c r="AF946">
        <v>545</v>
      </c>
      <c r="AG946" t="s">
        <v>1816</v>
      </c>
      <c r="AH946" t="s">
        <v>65</v>
      </c>
      <c r="AI946" t="s">
        <v>65</v>
      </c>
      <c r="AJ946" t="s">
        <v>66</v>
      </c>
      <c r="AK946" t="s">
        <v>66</v>
      </c>
      <c r="AL946" t="s">
        <v>66</v>
      </c>
      <c r="AM946" s="2" t="str">
        <f>HYPERLINK("https://transparencia.cidesi.mx/comprobantes/2021/CQ2100526 /C2FFC0000072400.pdf")</f>
        <v>https://transparencia.cidesi.mx/comprobantes/2021/CQ2100526 /C2FFC0000072400.pdf</v>
      </c>
      <c r="AN946" t="str">
        <f>HYPERLINK("https://transparencia.cidesi.mx/comprobantes/2021/CQ2100526 /C2FFC0000072400.pdf")</f>
        <v>https://transparencia.cidesi.mx/comprobantes/2021/CQ2100526 /C2FFC0000072400.pdf</v>
      </c>
      <c r="AO946" t="str">
        <f>HYPERLINK("https://transparencia.cidesi.mx/comprobantes/2021/CQ2100526 /C2FFC0000072400.xml")</f>
        <v>https://transparencia.cidesi.mx/comprobantes/2021/CQ2100526 /C2FFC0000072400.xml</v>
      </c>
      <c r="AP946" t="s">
        <v>1821</v>
      </c>
      <c r="AQ946" t="s">
        <v>1823</v>
      </c>
      <c r="AR946" t="s">
        <v>1818</v>
      </c>
      <c r="AS946" t="s">
        <v>1824</v>
      </c>
      <c r="AT946" s="1">
        <v>44398</v>
      </c>
      <c r="AU946" s="1">
        <v>44399</v>
      </c>
    </row>
    <row r="947" spans="1:47" x14ac:dyDescent="0.3">
      <c r="A947" t="s">
        <v>47</v>
      </c>
      <c r="B947" t="s">
        <v>224</v>
      </c>
      <c r="C947" t="s">
        <v>225</v>
      </c>
      <c r="D947">
        <v>9122</v>
      </c>
      <c r="E947" t="s">
        <v>1812</v>
      </c>
      <c r="F947" t="s">
        <v>1398</v>
      </c>
      <c r="G947" t="s">
        <v>912</v>
      </c>
      <c r="H947" t="s">
        <v>1825</v>
      </c>
      <c r="I947" t="s">
        <v>54</v>
      </c>
      <c r="J947" t="s">
        <v>1826</v>
      </c>
      <c r="K947" t="s">
        <v>56</v>
      </c>
      <c r="L947">
        <v>0</v>
      </c>
      <c r="M947" t="s">
        <v>73</v>
      </c>
      <c r="N947">
        <v>0</v>
      </c>
      <c r="O947" t="s">
        <v>58</v>
      </c>
      <c r="P947" t="s">
        <v>59</v>
      </c>
      <c r="Q947" t="s">
        <v>216</v>
      </c>
      <c r="R947" t="s">
        <v>1826</v>
      </c>
      <c r="S947" s="1">
        <v>44396</v>
      </c>
      <c r="T947" s="1">
        <v>44396</v>
      </c>
      <c r="U947">
        <v>37501</v>
      </c>
      <c r="V947" t="s">
        <v>61</v>
      </c>
      <c r="W947" t="s">
        <v>1827</v>
      </c>
      <c r="X947" s="1">
        <v>44397</v>
      </c>
      <c r="Y947" t="s">
        <v>63</v>
      </c>
      <c r="Z947">
        <v>333.62</v>
      </c>
      <c r="AA947">
        <v>16</v>
      </c>
      <c r="AB947">
        <v>53.38</v>
      </c>
      <c r="AC947">
        <v>39</v>
      </c>
      <c r="AD947">
        <v>426</v>
      </c>
      <c r="AE947">
        <v>528.9</v>
      </c>
      <c r="AF947">
        <v>545</v>
      </c>
      <c r="AG947" t="s">
        <v>1816</v>
      </c>
      <c r="AH947" t="s">
        <v>65</v>
      </c>
      <c r="AI947" t="s">
        <v>65</v>
      </c>
      <c r="AJ947" t="s">
        <v>66</v>
      </c>
      <c r="AK947" t="s">
        <v>66</v>
      </c>
      <c r="AL947" t="s">
        <v>66</v>
      </c>
      <c r="AM947" s="2" t="str">
        <f>HYPERLINK("https://transparencia.cidesi.mx/comprobantes/2021/CQ2100533 /C1CID840309UG7F0000018901.pdf")</f>
        <v>https://transparencia.cidesi.mx/comprobantes/2021/CQ2100533 /C1CID840309UG7F0000018901.pdf</v>
      </c>
      <c r="AN947" t="str">
        <f>HYPERLINK("https://transparencia.cidesi.mx/comprobantes/2021/CQ2100533 /C1CID840309UG7F0000018901.pdf")</f>
        <v>https://transparencia.cidesi.mx/comprobantes/2021/CQ2100533 /C1CID840309UG7F0000018901.pdf</v>
      </c>
      <c r="AO947" t="str">
        <f>HYPERLINK("https://transparencia.cidesi.mx/comprobantes/2021/CQ2100533 /C1CID840309UG7F0000018901.xml")</f>
        <v>https://transparencia.cidesi.mx/comprobantes/2021/CQ2100533 /C1CID840309UG7F0000018901.xml</v>
      </c>
      <c r="AP947" t="s">
        <v>1826</v>
      </c>
      <c r="AQ947" t="s">
        <v>1828</v>
      </c>
      <c r="AR947" t="s">
        <v>1818</v>
      </c>
      <c r="AS947" t="s">
        <v>1824</v>
      </c>
      <c r="AT947" s="1">
        <v>44398</v>
      </c>
      <c r="AU947" s="1">
        <v>44399</v>
      </c>
    </row>
    <row r="948" spans="1:47" x14ac:dyDescent="0.3">
      <c r="A948" t="s">
        <v>47</v>
      </c>
      <c r="B948" t="s">
        <v>224</v>
      </c>
      <c r="C948" t="s">
        <v>225</v>
      </c>
      <c r="D948">
        <v>9122</v>
      </c>
      <c r="E948" t="s">
        <v>1812</v>
      </c>
      <c r="F948" t="s">
        <v>1398</v>
      </c>
      <c r="G948" t="s">
        <v>912</v>
      </c>
      <c r="H948" t="s">
        <v>1825</v>
      </c>
      <c r="I948" t="s">
        <v>54</v>
      </c>
      <c r="J948" t="s">
        <v>1826</v>
      </c>
      <c r="K948" t="s">
        <v>56</v>
      </c>
      <c r="L948">
        <v>0</v>
      </c>
      <c r="M948" t="s">
        <v>73</v>
      </c>
      <c r="N948">
        <v>0</v>
      </c>
      <c r="O948" t="s">
        <v>58</v>
      </c>
      <c r="P948" t="s">
        <v>59</v>
      </c>
      <c r="Q948" t="s">
        <v>216</v>
      </c>
      <c r="R948" t="s">
        <v>1826</v>
      </c>
      <c r="S948" s="1">
        <v>44396</v>
      </c>
      <c r="T948" s="1">
        <v>44396</v>
      </c>
      <c r="U948">
        <v>37501</v>
      </c>
      <c r="V948" t="s">
        <v>61</v>
      </c>
      <c r="W948" t="s">
        <v>1827</v>
      </c>
      <c r="X948" s="1">
        <v>44397</v>
      </c>
      <c r="Y948" t="s">
        <v>63</v>
      </c>
      <c r="Z948">
        <v>97.81</v>
      </c>
      <c r="AA948">
        <v>16</v>
      </c>
      <c r="AB948">
        <v>5.09</v>
      </c>
      <c r="AC948">
        <v>0</v>
      </c>
      <c r="AD948">
        <v>102.9</v>
      </c>
      <c r="AE948">
        <v>528.9</v>
      </c>
      <c r="AF948">
        <v>545</v>
      </c>
      <c r="AG948" t="s">
        <v>1816</v>
      </c>
      <c r="AH948" t="s">
        <v>65</v>
      </c>
      <c r="AI948" t="s">
        <v>65</v>
      </c>
      <c r="AJ948" t="s">
        <v>66</v>
      </c>
      <c r="AK948" t="s">
        <v>66</v>
      </c>
      <c r="AL948" t="s">
        <v>66</v>
      </c>
      <c r="AM948" s="2" t="str">
        <f>HYPERLINK("https://transparencia.cidesi.mx/comprobantes/2021/CQ2100533 /C2FACTURA_1626805107053_337704917.pdf")</f>
        <v>https://transparencia.cidesi.mx/comprobantes/2021/CQ2100533 /C2FACTURA_1626805107053_337704917.pdf</v>
      </c>
      <c r="AN948" t="str">
        <f>HYPERLINK("https://transparencia.cidesi.mx/comprobantes/2021/CQ2100533 /C2FACTURA_1626805107053_337704917.pdf")</f>
        <v>https://transparencia.cidesi.mx/comprobantes/2021/CQ2100533 /C2FACTURA_1626805107053_337704917.pdf</v>
      </c>
      <c r="AO948" t="str">
        <f>HYPERLINK("https://transparencia.cidesi.mx/comprobantes/2021/CQ2100533 /C2FACTURA_1626805107993_337704917.xml")</f>
        <v>https://transparencia.cidesi.mx/comprobantes/2021/CQ2100533 /C2FACTURA_1626805107993_337704917.xml</v>
      </c>
      <c r="AP948" t="s">
        <v>1826</v>
      </c>
      <c r="AQ948" t="s">
        <v>1828</v>
      </c>
      <c r="AR948" t="s">
        <v>1818</v>
      </c>
      <c r="AS948" t="s">
        <v>1824</v>
      </c>
      <c r="AT948" s="1">
        <v>44398</v>
      </c>
      <c r="AU948" s="1">
        <v>44399</v>
      </c>
    </row>
    <row r="949" spans="1:47" x14ac:dyDescent="0.3">
      <c r="A949" t="s">
        <v>47</v>
      </c>
      <c r="B949" t="s">
        <v>224</v>
      </c>
      <c r="C949" t="s">
        <v>225</v>
      </c>
      <c r="D949">
        <v>9122</v>
      </c>
      <c r="E949" t="s">
        <v>1812</v>
      </c>
      <c r="F949" t="s">
        <v>1398</v>
      </c>
      <c r="G949" t="s">
        <v>912</v>
      </c>
      <c r="H949" t="s">
        <v>1829</v>
      </c>
      <c r="I949" t="s">
        <v>54</v>
      </c>
      <c r="J949" t="s">
        <v>1830</v>
      </c>
      <c r="K949" t="s">
        <v>56</v>
      </c>
      <c r="L949">
        <v>0</v>
      </c>
      <c r="M949" t="s">
        <v>73</v>
      </c>
      <c r="N949">
        <v>0</v>
      </c>
      <c r="O949" t="s">
        <v>58</v>
      </c>
      <c r="P949" t="s">
        <v>59</v>
      </c>
      <c r="Q949" t="s">
        <v>297</v>
      </c>
      <c r="R949" t="s">
        <v>1830</v>
      </c>
      <c r="S949" s="1">
        <v>44403</v>
      </c>
      <c r="T949" s="1">
        <v>44407</v>
      </c>
      <c r="U949">
        <v>37501</v>
      </c>
      <c r="V949" t="s">
        <v>61</v>
      </c>
      <c r="W949" t="s">
        <v>1831</v>
      </c>
      <c r="X949" s="1">
        <v>44411</v>
      </c>
      <c r="Y949" t="s">
        <v>63</v>
      </c>
      <c r="Z949">
        <v>213.79</v>
      </c>
      <c r="AA949">
        <v>16</v>
      </c>
      <c r="AB949">
        <v>34.21</v>
      </c>
      <c r="AC949">
        <v>25</v>
      </c>
      <c r="AD949">
        <v>273</v>
      </c>
      <c r="AE949">
        <v>2942.36</v>
      </c>
      <c r="AF949">
        <v>4909</v>
      </c>
      <c r="AG949" t="s">
        <v>1816</v>
      </c>
      <c r="AH949" t="s">
        <v>65</v>
      </c>
      <c r="AI949" t="s">
        <v>65</v>
      </c>
      <c r="AJ949" t="s">
        <v>66</v>
      </c>
      <c r="AK949" t="s">
        <v>66</v>
      </c>
      <c r="AL949" t="s">
        <v>66</v>
      </c>
      <c r="AM949" s="2" t="str">
        <f>HYPERLINK("https://transparencia.cidesi.mx/comprobantes/2021/CQ2100592 /C1ADI780127UHA_Factura__43361_FDF5F1AF-4E15-4FA0-B453-2D24F9C16EB5.pdf")</f>
        <v>https://transparencia.cidesi.mx/comprobantes/2021/CQ2100592 /C1ADI780127UHA_Factura__43361_FDF5F1AF-4E15-4FA0-B453-2D24F9C16EB5.pdf</v>
      </c>
      <c r="AN949" t="str">
        <f>HYPERLINK("https://transparencia.cidesi.mx/comprobantes/2021/CQ2100592 /C1ADI780127UHA_Factura__43361_FDF5F1AF-4E15-4FA0-B453-2D24F9C16EB5.pdf")</f>
        <v>https://transparencia.cidesi.mx/comprobantes/2021/CQ2100592 /C1ADI780127UHA_Factura__43361_FDF5F1AF-4E15-4FA0-B453-2D24F9C16EB5.pdf</v>
      </c>
      <c r="AO949" t="str">
        <f>HYPERLINK("https://transparencia.cidesi.mx/comprobantes/2021/CQ2100592 /C1ADI780127UHA_Factura__43361_FDF5F1AF-4E15-4FA0-B453-2D24F9C16EB5.xml")</f>
        <v>https://transparencia.cidesi.mx/comprobantes/2021/CQ2100592 /C1ADI780127UHA_Factura__43361_FDF5F1AF-4E15-4FA0-B453-2D24F9C16EB5.xml</v>
      </c>
      <c r="AP949" t="s">
        <v>1830</v>
      </c>
      <c r="AQ949" t="s">
        <v>1832</v>
      </c>
      <c r="AR949" t="s">
        <v>1818</v>
      </c>
      <c r="AS949" t="s">
        <v>1833</v>
      </c>
      <c r="AT949" s="1">
        <v>44413</v>
      </c>
      <c r="AU949" s="1">
        <v>44424</v>
      </c>
    </row>
    <row r="950" spans="1:47" x14ac:dyDescent="0.3">
      <c r="A950" t="s">
        <v>47</v>
      </c>
      <c r="B950" t="s">
        <v>224</v>
      </c>
      <c r="C950" t="s">
        <v>225</v>
      </c>
      <c r="D950">
        <v>9122</v>
      </c>
      <c r="E950" t="s">
        <v>1812</v>
      </c>
      <c r="F950" t="s">
        <v>1398</v>
      </c>
      <c r="G950" t="s">
        <v>912</v>
      </c>
      <c r="H950" t="s">
        <v>1829</v>
      </c>
      <c r="I950" t="s">
        <v>54</v>
      </c>
      <c r="J950" t="s">
        <v>1830</v>
      </c>
      <c r="K950" t="s">
        <v>56</v>
      </c>
      <c r="L950">
        <v>0</v>
      </c>
      <c r="M950" t="s">
        <v>73</v>
      </c>
      <c r="N950">
        <v>0</v>
      </c>
      <c r="O950" t="s">
        <v>58</v>
      </c>
      <c r="P950" t="s">
        <v>59</v>
      </c>
      <c r="Q950" t="s">
        <v>297</v>
      </c>
      <c r="R950" t="s">
        <v>1830</v>
      </c>
      <c r="S950" s="1">
        <v>44403</v>
      </c>
      <c r="T950" s="1">
        <v>44407</v>
      </c>
      <c r="U950">
        <v>37501</v>
      </c>
      <c r="V950" t="s">
        <v>61</v>
      </c>
      <c r="W950" t="s">
        <v>1831</v>
      </c>
      <c r="X950" s="1">
        <v>44411</v>
      </c>
      <c r="Y950" t="s">
        <v>63</v>
      </c>
      <c r="Z950">
        <v>181.03</v>
      </c>
      <c r="AA950">
        <v>16</v>
      </c>
      <c r="AB950">
        <v>28.97</v>
      </c>
      <c r="AC950">
        <v>21</v>
      </c>
      <c r="AD950">
        <v>231</v>
      </c>
      <c r="AE950">
        <v>2942.36</v>
      </c>
      <c r="AF950">
        <v>4909</v>
      </c>
      <c r="AG950" t="s">
        <v>1816</v>
      </c>
      <c r="AH950" t="s">
        <v>65</v>
      </c>
      <c r="AI950" t="s">
        <v>65</v>
      </c>
      <c r="AJ950" t="s">
        <v>66</v>
      </c>
      <c r="AK950" t="s">
        <v>66</v>
      </c>
      <c r="AL950" t="s">
        <v>66</v>
      </c>
      <c r="AM950" s="2" t="str">
        <f>HYPERLINK("https://transparencia.cidesi.mx/comprobantes/2021/CQ2100592 /C2Factura-162044.pdf")</f>
        <v>https://transparencia.cidesi.mx/comprobantes/2021/CQ2100592 /C2Factura-162044.pdf</v>
      </c>
      <c r="AN950" t="str">
        <f>HYPERLINK("https://transparencia.cidesi.mx/comprobantes/2021/CQ2100592 /C2Factura-162044.pdf")</f>
        <v>https://transparencia.cidesi.mx/comprobantes/2021/CQ2100592 /C2Factura-162044.pdf</v>
      </c>
      <c r="AO950" t="str">
        <f>HYPERLINK("https://transparencia.cidesi.mx/comprobantes/2021/CQ2100592 /C2Factura-162044.xml")</f>
        <v>https://transparencia.cidesi.mx/comprobantes/2021/CQ2100592 /C2Factura-162044.xml</v>
      </c>
      <c r="AP950" t="s">
        <v>1830</v>
      </c>
      <c r="AQ950" t="s">
        <v>1832</v>
      </c>
      <c r="AR950" t="s">
        <v>1818</v>
      </c>
      <c r="AS950" t="s">
        <v>1833</v>
      </c>
      <c r="AT950" s="1">
        <v>44413</v>
      </c>
      <c r="AU950" s="1">
        <v>44424</v>
      </c>
    </row>
    <row r="951" spans="1:47" x14ac:dyDescent="0.3">
      <c r="A951" t="s">
        <v>47</v>
      </c>
      <c r="B951" t="s">
        <v>224</v>
      </c>
      <c r="C951" t="s">
        <v>225</v>
      </c>
      <c r="D951">
        <v>9122</v>
      </c>
      <c r="E951" t="s">
        <v>1812</v>
      </c>
      <c r="F951" t="s">
        <v>1398</v>
      </c>
      <c r="G951" t="s">
        <v>912</v>
      </c>
      <c r="H951" t="s">
        <v>1829</v>
      </c>
      <c r="I951" t="s">
        <v>54</v>
      </c>
      <c r="J951" t="s">
        <v>1830</v>
      </c>
      <c r="K951" t="s">
        <v>56</v>
      </c>
      <c r="L951">
        <v>0</v>
      </c>
      <c r="M951" t="s">
        <v>73</v>
      </c>
      <c r="N951">
        <v>0</v>
      </c>
      <c r="O951" t="s">
        <v>58</v>
      </c>
      <c r="P951" t="s">
        <v>59</v>
      </c>
      <c r="Q951" t="s">
        <v>297</v>
      </c>
      <c r="R951" t="s">
        <v>1830</v>
      </c>
      <c r="S951" s="1">
        <v>44403</v>
      </c>
      <c r="T951" s="1">
        <v>44407</v>
      </c>
      <c r="U951">
        <v>37501</v>
      </c>
      <c r="V951" t="s">
        <v>61</v>
      </c>
      <c r="W951" t="s">
        <v>1831</v>
      </c>
      <c r="X951" s="1">
        <v>44411</v>
      </c>
      <c r="Y951" t="s">
        <v>63</v>
      </c>
      <c r="Z951">
        <v>178.45</v>
      </c>
      <c r="AA951">
        <v>16</v>
      </c>
      <c r="AB951">
        <v>28.55</v>
      </c>
      <c r="AC951">
        <v>21</v>
      </c>
      <c r="AD951">
        <v>228</v>
      </c>
      <c r="AE951">
        <v>2942.36</v>
      </c>
      <c r="AF951">
        <v>4909</v>
      </c>
      <c r="AG951" t="s">
        <v>1816</v>
      </c>
      <c r="AH951" t="s">
        <v>65</v>
      </c>
      <c r="AI951" t="s">
        <v>65</v>
      </c>
      <c r="AJ951" t="s">
        <v>66</v>
      </c>
      <c r="AK951" t="s">
        <v>66</v>
      </c>
      <c r="AL951" t="s">
        <v>66</v>
      </c>
      <c r="AM951" s="2" t="str">
        <f>HYPERLINK("https://transparencia.cidesi.mx/comprobantes/2021/CQ2100592 /C3MYAP330814_NDG071019LH4.pdf")</f>
        <v>https://transparencia.cidesi.mx/comprobantes/2021/CQ2100592 /C3MYAP330814_NDG071019LH4.pdf</v>
      </c>
      <c r="AN951" t="str">
        <f>HYPERLINK("https://transparencia.cidesi.mx/comprobantes/2021/CQ2100592 /C3MYAP330814_NDG071019LH4.pdf")</f>
        <v>https://transparencia.cidesi.mx/comprobantes/2021/CQ2100592 /C3MYAP330814_NDG071019LH4.pdf</v>
      </c>
      <c r="AO951" t="str">
        <f>HYPERLINK("https://transparencia.cidesi.mx/comprobantes/2021/CQ2100592 /C3MYAP330814_NDG071019LH4.xml")</f>
        <v>https://transparencia.cidesi.mx/comprobantes/2021/CQ2100592 /C3MYAP330814_NDG071019LH4.xml</v>
      </c>
      <c r="AP951" t="s">
        <v>1830</v>
      </c>
      <c r="AQ951" t="s">
        <v>1832</v>
      </c>
      <c r="AR951" t="s">
        <v>1818</v>
      </c>
      <c r="AS951" t="s">
        <v>1833</v>
      </c>
      <c r="AT951" s="1">
        <v>44413</v>
      </c>
      <c r="AU951" s="1">
        <v>44424</v>
      </c>
    </row>
    <row r="952" spans="1:47" x14ac:dyDescent="0.3">
      <c r="A952" t="s">
        <v>47</v>
      </c>
      <c r="B952" t="s">
        <v>224</v>
      </c>
      <c r="C952" t="s">
        <v>225</v>
      </c>
      <c r="D952">
        <v>9122</v>
      </c>
      <c r="E952" t="s">
        <v>1812</v>
      </c>
      <c r="F952" t="s">
        <v>1398</v>
      </c>
      <c r="G952" t="s">
        <v>912</v>
      </c>
      <c r="H952" t="s">
        <v>1829</v>
      </c>
      <c r="I952" t="s">
        <v>54</v>
      </c>
      <c r="J952" t="s">
        <v>1830</v>
      </c>
      <c r="K952" t="s">
        <v>56</v>
      </c>
      <c r="L952">
        <v>0</v>
      </c>
      <c r="M952" t="s">
        <v>73</v>
      </c>
      <c r="N952">
        <v>0</v>
      </c>
      <c r="O952" t="s">
        <v>58</v>
      </c>
      <c r="P952" t="s">
        <v>59</v>
      </c>
      <c r="Q952" t="s">
        <v>297</v>
      </c>
      <c r="R952" t="s">
        <v>1830</v>
      </c>
      <c r="S952" s="1">
        <v>44403</v>
      </c>
      <c r="T952" s="1">
        <v>44407</v>
      </c>
      <c r="U952">
        <v>37501</v>
      </c>
      <c r="V952" t="s">
        <v>61</v>
      </c>
      <c r="W952" t="s">
        <v>1831</v>
      </c>
      <c r="X952" s="1">
        <v>44411</v>
      </c>
      <c r="Y952" t="s">
        <v>63</v>
      </c>
      <c r="Z952">
        <v>201.72</v>
      </c>
      <c r="AA952">
        <v>16</v>
      </c>
      <c r="AB952">
        <v>32.28</v>
      </c>
      <c r="AC952">
        <v>23.4</v>
      </c>
      <c r="AD952">
        <v>257.39999999999998</v>
      </c>
      <c r="AE952">
        <v>2942.36</v>
      </c>
      <c r="AF952">
        <v>4909</v>
      </c>
      <c r="AG952" t="s">
        <v>1816</v>
      </c>
      <c r="AH952" t="s">
        <v>65</v>
      </c>
      <c r="AI952" t="s">
        <v>65</v>
      </c>
      <c r="AJ952" t="s">
        <v>66</v>
      </c>
      <c r="AK952" t="s">
        <v>66</v>
      </c>
      <c r="AL952" t="s">
        <v>66</v>
      </c>
      <c r="AM952" s="2" t="str">
        <f>HYPERLINK("https://transparencia.cidesi.mx/comprobantes/2021/CQ2100592 /C4FacturaFRP-175849.pdf")</f>
        <v>https://transparencia.cidesi.mx/comprobantes/2021/CQ2100592 /C4FacturaFRP-175849.pdf</v>
      </c>
      <c r="AN952" t="str">
        <f>HYPERLINK("https://transparencia.cidesi.mx/comprobantes/2021/CQ2100592 /C4FacturaFRP-175849.pdf")</f>
        <v>https://transparencia.cidesi.mx/comprobantes/2021/CQ2100592 /C4FacturaFRP-175849.pdf</v>
      </c>
      <c r="AO952" t="str">
        <f>HYPERLINK("https://transparencia.cidesi.mx/comprobantes/2021/CQ2100592 /C4FacturaFRP-175849.xml")</f>
        <v>https://transparencia.cidesi.mx/comprobantes/2021/CQ2100592 /C4FacturaFRP-175849.xml</v>
      </c>
      <c r="AP952" t="s">
        <v>1830</v>
      </c>
      <c r="AQ952" t="s">
        <v>1832</v>
      </c>
      <c r="AR952" t="s">
        <v>1818</v>
      </c>
      <c r="AS952" t="s">
        <v>1833</v>
      </c>
      <c r="AT952" s="1">
        <v>44413</v>
      </c>
      <c r="AU952" s="1">
        <v>44424</v>
      </c>
    </row>
    <row r="953" spans="1:47" x14ac:dyDescent="0.3">
      <c r="A953" t="s">
        <v>47</v>
      </c>
      <c r="B953" t="s">
        <v>224</v>
      </c>
      <c r="C953" t="s">
        <v>225</v>
      </c>
      <c r="D953">
        <v>9122</v>
      </c>
      <c r="E953" t="s">
        <v>1812</v>
      </c>
      <c r="F953" t="s">
        <v>1398</v>
      </c>
      <c r="G953" t="s">
        <v>912</v>
      </c>
      <c r="H953" t="s">
        <v>1829</v>
      </c>
      <c r="I953" t="s">
        <v>54</v>
      </c>
      <c r="J953" t="s">
        <v>1830</v>
      </c>
      <c r="K953" t="s">
        <v>56</v>
      </c>
      <c r="L953">
        <v>0</v>
      </c>
      <c r="M953" t="s">
        <v>73</v>
      </c>
      <c r="N953">
        <v>0</v>
      </c>
      <c r="O953" t="s">
        <v>58</v>
      </c>
      <c r="P953" t="s">
        <v>59</v>
      </c>
      <c r="Q953" t="s">
        <v>297</v>
      </c>
      <c r="R953" t="s">
        <v>1830</v>
      </c>
      <c r="S953" s="1">
        <v>44403</v>
      </c>
      <c r="T953" s="1">
        <v>44407</v>
      </c>
      <c r="U953">
        <v>37501</v>
      </c>
      <c r="V953" t="s">
        <v>61</v>
      </c>
      <c r="W953" t="s">
        <v>1831</v>
      </c>
      <c r="X953" s="1">
        <v>44411</v>
      </c>
      <c r="Y953" t="s">
        <v>63</v>
      </c>
      <c r="Z953">
        <v>61.31</v>
      </c>
      <c r="AA953">
        <v>16</v>
      </c>
      <c r="AB953">
        <v>6.69</v>
      </c>
      <c r="AC953">
        <v>0</v>
      </c>
      <c r="AD953">
        <v>68</v>
      </c>
      <c r="AE953">
        <v>2942.36</v>
      </c>
      <c r="AF953">
        <v>4909</v>
      </c>
      <c r="AG953" t="s">
        <v>1816</v>
      </c>
      <c r="AH953" t="s">
        <v>65</v>
      </c>
      <c r="AI953" t="s">
        <v>65</v>
      </c>
      <c r="AJ953" t="s">
        <v>66</v>
      </c>
      <c r="AK953" t="s">
        <v>66</v>
      </c>
      <c r="AL953" t="s">
        <v>66</v>
      </c>
      <c r="AM953" s="2" t="str">
        <f>HYPERLINK("https://transparencia.cidesi.mx/comprobantes/2021/CQ2100592 /C5SEM980701STA_CID840309UG7_1590_37877.pdf")</f>
        <v>https://transparencia.cidesi.mx/comprobantes/2021/CQ2100592 /C5SEM980701STA_CID840309UG7_1590_37877.pdf</v>
      </c>
      <c r="AN953" t="str">
        <f>HYPERLINK("https://transparencia.cidesi.mx/comprobantes/2021/CQ2100592 /C5SEM980701STA_CID840309UG7_1590_37877.pdf")</f>
        <v>https://transparencia.cidesi.mx/comprobantes/2021/CQ2100592 /C5SEM980701STA_CID840309UG7_1590_37877.pdf</v>
      </c>
      <c r="AO953" t="str">
        <f>HYPERLINK("https://transparencia.cidesi.mx/comprobantes/2021/CQ2100592 /C5SEM980701STA_CID840309UG7_1590_37877.xml")</f>
        <v>https://transparencia.cidesi.mx/comprobantes/2021/CQ2100592 /C5SEM980701STA_CID840309UG7_1590_37877.xml</v>
      </c>
      <c r="AP953" t="s">
        <v>1830</v>
      </c>
      <c r="AQ953" t="s">
        <v>1832</v>
      </c>
      <c r="AR953" t="s">
        <v>1818</v>
      </c>
      <c r="AS953" t="s">
        <v>1833</v>
      </c>
      <c r="AT953" s="1">
        <v>44413</v>
      </c>
      <c r="AU953" s="1">
        <v>44424</v>
      </c>
    </row>
    <row r="954" spans="1:47" x14ac:dyDescent="0.3">
      <c r="A954" t="s">
        <v>47</v>
      </c>
      <c r="B954" t="s">
        <v>224</v>
      </c>
      <c r="C954" t="s">
        <v>225</v>
      </c>
      <c r="D954">
        <v>9122</v>
      </c>
      <c r="E954" t="s">
        <v>1812</v>
      </c>
      <c r="F954" t="s">
        <v>1398</v>
      </c>
      <c r="G954" t="s">
        <v>912</v>
      </c>
      <c r="H954" t="s">
        <v>1829</v>
      </c>
      <c r="I954" t="s">
        <v>54</v>
      </c>
      <c r="J954" t="s">
        <v>1830</v>
      </c>
      <c r="K954" t="s">
        <v>56</v>
      </c>
      <c r="L954">
        <v>0</v>
      </c>
      <c r="M954" t="s">
        <v>73</v>
      </c>
      <c r="N954">
        <v>0</v>
      </c>
      <c r="O954" t="s">
        <v>58</v>
      </c>
      <c r="P954" t="s">
        <v>59</v>
      </c>
      <c r="Q954" t="s">
        <v>297</v>
      </c>
      <c r="R954" t="s">
        <v>1830</v>
      </c>
      <c r="S954" s="1">
        <v>44403</v>
      </c>
      <c r="T954" s="1">
        <v>44407</v>
      </c>
      <c r="U954">
        <v>37501</v>
      </c>
      <c r="V954" t="s">
        <v>104</v>
      </c>
      <c r="W954" t="s">
        <v>1831</v>
      </c>
      <c r="X954" s="1">
        <v>44411</v>
      </c>
      <c r="Y954" t="s">
        <v>63</v>
      </c>
      <c r="Z954">
        <v>1631.52</v>
      </c>
      <c r="AA954">
        <v>16</v>
      </c>
      <c r="AB954">
        <v>253.44</v>
      </c>
      <c r="AC954">
        <v>0</v>
      </c>
      <c r="AD954">
        <v>1884.96</v>
      </c>
      <c r="AE954">
        <v>2942.36</v>
      </c>
      <c r="AF954">
        <v>4909</v>
      </c>
      <c r="AG954" t="s">
        <v>1834</v>
      </c>
      <c r="AH954" t="s">
        <v>65</v>
      </c>
      <c r="AI954" t="s">
        <v>65</v>
      </c>
      <c r="AJ954" t="s">
        <v>66</v>
      </c>
      <c r="AK954" t="s">
        <v>66</v>
      </c>
      <c r="AL954" t="s">
        <v>66</v>
      </c>
      <c r="AM954" s="2" t="str">
        <f>HYPERLINK("https://transparencia.cidesi.mx/comprobantes/2021/CQ2100592 /C6CID840309UG7_MTY1105.pdf")</f>
        <v>https://transparencia.cidesi.mx/comprobantes/2021/CQ2100592 /C6CID840309UG7_MTY1105.pdf</v>
      </c>
      <c r="AN954" t="str">
        <f>HYPERLINK("https://transparencia.cidesi.mx/comprobantes/2021/CQ2100592 /C6CID840309UG7_MTY1105.pdf")</f>
        <v>https://transparencia.cidesi.mx/comprobantes/2021/CQ2100592 /C6CID840309UG7_MTY1105.pdf</v>
      </c>
      <c r="AO954" t="str">
        <f>HYPERLINK("https://transparencia.cidesi.mx/comprobantes/2021/CQ2100592 /C6CID840309UG7_MTY1105.xml")</f>
        <v>https://transparencia.cidesi.mx/comprobantes/2021/CQ2100592 /C6CID840309UG7_MTY1105.xml</v>
      </c>
      <c r="AP954" t="s">
        <v>1830</v>
      </c>
      <c r="AQ954" t="s">
        <v>1832</v>
      </c>
      <c r="AR954" t="s">
        <v>1818</v>
      </c>
      <c r="AS954" t="s">
        <v>1833</v>
      </c>
      <c r="AT954" s="1">
        <v>44413</v>
      </c>
      <c r="AU954" s="1">
        <v>44424</v>
      </c>
    </row>
    <row r="955" spans="1:47" x14ac:dyDescent="0.3">
      <c r="A955" t="s">
        <v>47</v>
      </c>
      <c r="B955" t="s">
        <v>224</v>
      </c>
      <c r="C955" t="s">
        <v>225</v>
      </c>
      <c r="D955">
        <v>9122</v>
      </c>
      <c r="E955" t="s">
        <v>1812</v>
      </c>
      <c r="F955" t="s">
        <v>1398</v>
      </c>
      <c r="G955" t="s">
        <v>912</v>
      </c>
      <c r="H955" t="s">
        <v>1835</v>
      </c>
      <c r="I955" t="s">
        <v>54</v>
      </c>
      <c r="J955" t="s">
        <v>1836</v>
      </c>
      <c r="K955" t="s">
        <v>56</v>
      </c>
      <c r="L955">
        <v>0</v>
      </c>
      <c r="M955" t="s">
        <v>73</v>
      </c>
      <c r="N955">
        <v>0</v>
      </c>
      <c r="O955" t="s">
        <v>58</v>
      </c>
      <c r="P955" t="s">
        <v>59</v>
      </c>
      <c r="Q955" t="s">
        <v>252</v>
      </c>
      <c r="R955" t="s">
        <v>1836</v>
      </c>
      <c r="S955" s="1">
        <v>44420</v>
      </c>
      <c r="T955" s="1">
        <v>44420</v>
      </c>
      <c r="U955">
        <v>37501</v>
      </c>
      <c r="V955" t="s">
        <v>61</v>
      </c>
      <c r="W955" t="s">
        <v>1837</v>
      </c>
      <c r="X955" s="1">
        <v>44424</v>
      </c>
      <c r="Y955" t="s">
        <v>63</v>
      </c>
      <c r="Z955">
        <v>368.54</v>
      </c>
      <c r="AA955">
        <v>16</v>
      </c>
      <c r="AB955">
        <v>58.97</v>
      </c>
      <c r="AC955">
        <v>42.75</v>
      </c>
      <c r="AD955">
        <v>470.26</v>
      </c>
      <c r="AE955">
        <v>470.26</v>
      </c>
      <c r="AF955">
        <v>545</v>
      </c>
      <c r="AG955" t="s">
        <v>1816</v>
      </c>
      <c r="AH955" t="s">
        <v>65</v>
      </c>
      <c r="AI955" t="s">
        <v>65</v>
      </c>
      <c r="AJ955" t="s">
        <v>66</v>
      </c>
      <c r="AK955" t="s">
        <v>66</v>
      </c>
      <c r="AL955" t="s">
        <v>66</v>
      </c>
      <c r="AM955" s="2" t="str">
        <f>HYPERLINK("https://transparencia.cidesi.mx/comprobantes/2021/CQ2100652 /C1Rio33 F1303.pdf")</f>
        <v>https://transparencia.cidesi.mx/comprobantes/2021/CQ2100652 /C1Rio33 F1303.pdf</v>
      </c>
      <c r="AN955" t="str">
        <f>HYPERLINK("https://transparencia.cidesi.mx/comprobantes/2021/CQ2100652 /C1Rio33 F1303.pdf")</f>
        <v>https://transparencia.cidesi.mx/comprobantes/2021/CQ2100652 /C1Rio33 F1303.pdf</v>
      </c>
      <c r="AO955" t="str">
        <f>HYPERLINK("https://transparencia.cidesi.mx/comprobantes/2021/CQ2100652 /C1Rio33 F1303.xml")</f>
        <v>https://transparencia.cidesi.mx/comprobantes/2021/CQ2100652 /C1Rio33 F1303.xml</v>
      </c>
      <c r="AP955" t="s">
        <v>1836</v>
      </c>
      <c r="AQ955" t="s">
        <v>1838</v>
      </c>
      <c r="AR955" t="s">
        <v>1818</v>
      </c>
      <c r="AS955" t="s">
        <v>1824</v>
      </c>
      <c r="AT955" s="1">
        <v>44425</v>
      </c>
      <c r="AU955" s="1">
        <v>44428</v>
      </c>
    </row>
    <row r="956" spans="1:47" x14ac:dyDescent="0.3">
      <c r="A956" t="s">
        <v>47</v>
      </c>
      <c r="B956" t="s">
        <v>224</v>
      </c>
      <c r="C956" t="s">
        <v>225</v>
      </c>
      <c r="D956">
        <v>9122</v>
      </c>
      <c r="E956" t="s">
        <v>1812</v>
      </c>
      <c r="F956" t="s">
        <v>1398</v>
      </c>
      <c r="G956" t="s">
        <v>912</v>
      </c>
      <c r="H956" t="s">
        <v>1839</v>
      </c>
      <c r="I956" t="s">
        <v>54</v>
      </c>
      <c r="J956" t="s">
        <v>1840</v>
      </c>
      <c r="K956" t="s">
        <v>56</v>
      </c>
      <c r="L956">
        <v>0</v>
      </c>
      <c r="M956" t="s">
        <v>73</v>
      </c>
      <c r="N956">
        <v>0</v>
      </c>
      <c r="O956" t="s">
        <v>58</v>
      </c>
      <c r="P956" t="s">
        <v>59</v>
      </c>
      <c r="Q956" t="s">
        <v>252</v>
      </c>
      <c r="R956" t="s">
        <v>1840</v>
      </c>
      <c r="S956" s="1">
        <v>44448</v>
      </c>
      <c r="T956" s="1">
        <v>44448</v>
      </c>
      <c r="U956">
        <v>37501</v>
      </c>
      <c r="V956" t="s">
        <v>61</v>
      </c>
      <c r="W956" t="s">
        <v>1841</v>
      </c>
      <c r="X956" s="1">
        <v>44449</v>
      </c>
      <c r="Y956" t="s">
        <v>63</v>
      </c>
      <c r="Z956">
        <v>350</v>
      </c>
      <c r="AA956">
        <v>16</v>
      </c>
      <c r="AB956">
        <v>56</v>
      </c>
      <c r="AC956">
        <v>40</v>
      </c>
      <c r="AD956">
        <v>446</v>
      </c>
      <c r="AE956">
        <v>509.5</v>
      </c>
      <c r="AF956">
        <v>545</v>
      </c>
      <c r="AG956" t="s">
        <v>1816</v>
      </c>
      <c r="AH956" t="s">
        <v>65</v>
      </c>
      <c r="AI956" t="s">
        <v>65</v>
      </c>
      <c r="AJ956" t="s">
        <v>66</v>
      </c>
      <c r="AK956" t="s">
        <v>66</v>
      </c>
      <c r="AL956" t="s">
        <v>66</v>
      </c>
      <c r="AM956" s="2" t="str">
        <f>HYPERLINK("https://transparencia.cidesi.mx/comprobantes/2021/CQ2100774 /C1CID840309UG7FF0000006355.pdf")</f>
        <v>https://transparencia.cidesi.mx/comprobantes/2021/CQ2100774 /C1CID840309UG7FF0000006355.pdf</v>
      </c>
      <c r="AN956" t="str">
        <f>HYPERLINK("https://transparencia.cidesi.mx/comprobantes/2021/CQ2100774 /C1CID840309UG7FF0000006355.pdf")</f>
        <v>https://transparencia.cidesi.mx/comprobantes/2021/CQ2100774 /C1CID840309UG7FF0000006355.pdf</v>
      </c>
      <c r="AO956" t="str">
        <f>HYPERLINK("https://transparencia.cidesi.mx/comprobantes/2021/CQ2100774 /C1CID840309UG7FF0000006355.xml")</f>
        <v>https://transparencia.cidesi.mx/comprobantes/2021/CQ2100774 /C1CID840309UG7FF0000006355.xml</v>
      </c>
      <c r="AP956" t="s">
        <v>1840</v>
      </c>
      <c r="AQ956" t="s">
        <v>1842</v>
      </c>
      <c r="AR956" t="s">
        <v>1818</v>
      </c>
      <c r="AS956" t="s">
        <v>1833</v>
      </c>
      <c r="AT956" s="1">
        <v>44452</v>
      </c>
      <c r="AU956" s="1">
        <v>44453</v>
      </c>
    </row>
    <row r="957" spans="1:47" x14ac:dyDescent="0.3">
      <c r="A957" t="s">
        <v>47</v>
      </c>
      <c r="B957" t="s">
        <v>224</v>
      </c>
      <c r="C957" t="s">
        <v>225</v>
      </c>
      <c r="D957">
        <v>9122</v>
      </c>
      <c r="E957" t="s">
        <v>1812</v>
      </c>
      <c r="F957" t="s">
        <v>1398</v>
      </c>
      <c r="G957" t="s">
        <v>912</v>
      </c>
      <c r="H957" t="s">
        <v>1839</v>
      </c>
      <c r="I957" t="s">
        <v>54</v>
      </c>
      <c r="J957" t="s">
        <v>1840</v>
      </c>
      <c r="K957" t="s">
        <v>56</v>
      </c>
      <c r="L957">
        <v>0</v>
      </c>
      <c r="M957" t="s">
        <v>73</v>
      </c>
      <c r="N957">
        <v>0</v>
      </c>
      <c r="O957" t="s">
        <v>58</v>
      </c>
      <c r="P957" t="s">
        <v>59</v>
      </c>
      <c r="Q957" t="s">
        <v>252</v>
      </c>
      <c r="R957" t="s">
        <v>1840</v>
      </c>
      <c r="S957" s="1">
        <v>44448</v>
      </c>
      <c r="T957" s="1">
        <v>44448</v>
      </c>
      <c r="U957">
        <v>37501</v>
      </c>
      <c r="V957" t="s">
        <v>61</v>
      </c>
      <c r="W957" t="s">
        <v>1841</v>
      </c>
      <c r="X957" s="1">
        <v>44449</v>
      </c>
      <c r="Y957" t="s">
        <v>63</v>
      </c>
      <c r="Z957">
        <v>59.91</v>
      </c>
      <c r="AA957">
        <v>16</v>
      </c>
      <c r="AB957">
        <v>3.59</v>
      </c>
      <c r="AC957">
        <v>0</v>
      </c>
      <c r="AD957">
        <v>63.5</v>
      </c>
      <c r="AE957">
        <v>509.5</v>
      </c>
      <c r="AF957">
        <v>545</v>
      </c>
      <c r="AG957" t="s">
        <v>1816</v>
      </c>
      <c r="AH957" t="s">
        <v>65</v>
      </c>
      <c r="AI957" t="s">
        <v>65</v>
      </c>
      <c r="AJ957" t="s">
        <v>66</v>
      </c>
      <c r="AK957" t="s">
        <v>66</v>
      </c>
      <c r="AL957" t="s">
        <v>66</v>
      </c>
      <c r="AM957" s="2" t="str">
        <f>HYPERLINK("https://transparencia.cidesi.mx/comprobantes/2021/CQ2100774 /C2FACTURA_1631304734224_344379267.pdf")</f>
        <v>https://transparencia.cidesi.mx/comprobantes/2021/CQ2100774 /C2FACTURA_1631304734224_344379267.pdf</v>
      </c>
      <c r="AN957" t="str">
        <f>HYPERLINK("https://transparencia.cidesi.mx/comprobantes/2021/CQ2100774 /C2FACTURA_1631304734224_344379267.pdf")</f>
        <v>https://transparencia.cidesi.mx/comprobantes/2021/CQ2100774 /C2FACTURA_1631304734224_344379267.pdf</v>
      </c>
      <c r="AO957" t="str">
        <f>HYPERLINK("https://transparencia.cidesi.mx/comprobantes/2021/CQ2100774 /C2FACTURA_1631304736144_344379267.xml")</f>
        <v>https://transparencia.cidesi.mx/comprobantes/2021/CQ2100774 /C2FACTURA_1631304736144_344379267.xml</v>
      </c>
      <c r="AP957" t="s">
        <v>1840</v>
      </c>
      <c r="AQ957" t="s">
        <v>1842</v>
      </c>
      <c r="AR957" t="s">
        <v>1818</v>
      </c>
      <c r="AS957" t="s">
        <v>1833</v>
      </c>
      <c r="AT957" s="1">
        <v>44452</v>
      </c>
      <c r="AU957" s="1">
        <v>44453</v>
      </c>
    </row>
    <row r="958" spans="1:47" x14ac:dyDescent="0.3">
      <c r="A958" t="s">
        <v>47</v>
      </c>
      <c r="B958" t="s">
        <v>224</v>
      </c>
      <c r="C958" t="s">
        <v>225</v>
      </c>
      <c r="D958">
        <v>9122</v>
      </c>
      <c r="E958" t="s">
        <v>1812</v>
      </c>
      <c r="F958" t="s">
        <v>1398</v>
      </c>
      <c r="G958" t="s">
        <v>912</v>
      </c>
      <c r="H958" t="s">
        <v>1843</v>
      </c>
      <c r="I958" t="s">
        <v>54</v>
      </c>
      <c r="J958" t="s">
        <v>1844</v>
      </c>
      <c r="K958" t="s">
        <v>56</v>
      </c>
      <c r="L958">
        <v>0</v>
      </c>
      <c r="M958" t="s">
        <v>73</v>
      </c>
      <c r="N958">
        <v>0</v>
      </c>
      <c r="O958" t="s">
        <v>58</v>
      </c>
      <c r="P958" t="s">
        <v>59</v>
      </c>
      <c r="Q958" t="s">
        <v>1284</v>
      </c>
      <c r="R958" t="s">
        <v>1844</v>
      </c>
      <c r="S958" s="1">
        <v>44452</v>
      </c>
      <c r="T958" s="1">
        <v>44452</v>
      </c>
      <c r="U958">
        <v>37501</v>
      </c>
      <c r="V958" t="s">
        <v>61</v>
      </c>
      <c r="W958" t="s">
        <v>1845</v>
      </c>
      <c r="X958" s="1">
        <v>44454</v>
      </c>
      <c r="Y958" t="s">
        <v>63</v>
      </c>
      <c r="Z958">
        <v>396.55</v>
      </c>
      <c r="AA958">
        <v>16</v>
      </c>
      <c r="AB958">
        <v>63.45</v>
      </c>
      <c r="AC958">
        <v>0</v>
      </c>
      <c r="AD958">
        <v>460</v>
      </c>
      <c r="AE958">
        <v>497.5</v>
      </c>
      <c r="AF958">
        <v>545</v>
      </c>
      <c r="AG958" t="s">
        <v>1816</v>
      </c>
      <c r="AH958" t="s">
        <v>65</v>
      </c>
      <c r="AI958" t="s">
        <v>65</v>
      </c>
      <c r="AJ958" t="s">
        <v>66</v>
      </c>
      <c r="AK958" t="s">
        <v>66</v>
      </c>
      <c r="AL958" t="s">
        <v>66</v>
      </c>
      <c r="AM958" s="2" t="str">
        <f>HYPERLINK("https://transparencia.cidesi.mx/comprobantes/2021/CQ2100807 /C1CID840309UG7FF0000006388.pdf")</f>
        <v>https://transparencia.cidesi.mx/comprobantes/2021/CQ2100807 /C1CID840309UG7FF0000006388.pdf</v>
      </c>
      <c r="AN958" t="str">
        <f>HYPERLINK("https://transparencia.cidesi.mx/comprobantes/2021/CQ2100807 /C1CID840309UG7FF0000006388.pdf")</f>
        <v>https://transparencia.cidesi.mx/comprobantes/2021/CQ2100807 /C1CID840309UG7FF0000006388.pdf</v>
      </c>
      <c r="AO958" t="str">
        <f>HYPERLINK("https://transparencia.cidesi.mx/comprobantes/2021/CQ2100807 /C1CID840309UG7FF0000006388.xml")</f>
        <v>https://transparencia.cidesi.mx/comprobantes/2021/CQ2100807 /C1CID840309UG7FF0000006388.xml</v>
      </c>
      <c r="AP958" t="s">
        <v>1844</v>
      </c>
      <c r="AQ958" t="s">
        <v>1846</v>
      </c>
      <c r="AR958" t="s">
        <v>1818</v>
      </c>
      <c r="AS958" t="s">
        <v>1833</v>
      </c>
      <c r="AT958" s="1">
        <v>44454</v>
      </c>
      <c r="AU958" s="1">
        <v>44470</v>
      </c>
    </row>
    <row r="959" spans="1:47" x14ac:dyDescent="0.3">
      <c r="A959" t="s">
        <v>47</v>
      </c>
      <c r="B959" t="s">
        <v>224</v>
      </c>
      <c r="C959" t="s">
        <v>225</v>
      </c>
      <c r="D959">
        <v>9122</v>
      </c>
      <c r="E959" t="s">
        <v>1812</v>
      </c>
      <c r="F959" t="s">
        <v>1398</v>
      </c>
      <c r="G959" t="s">
        <v>912</v>
      </c>
      <c r="H959" t="s">
        <v>1843</v>
      </c>
      <c r="I959" t="s">
        <v>54</v>
      </c>
      <c r="J959" t="s">
        <v>1844</v>
      </c>
      <c r="K959" t="s">
        <v>56</v>
      </c>
      <c r="L959">
        <v>0</v>
      </c>
      <c r="M959" t="s">
        <v>73</v>
      </c>
      <c r="N959">
        <v>0</v>
      </c>
      <c r="O959" t="s">
        <v>58</v>
      </c>
      <c r="P959" t="s">
        <v>59</v>
      </c>
      <c r="Q959" t="s">
        <v>1284</v>
      </c>
      <c r="R959" t="s">
        <v>1844</v>
      </c>
      <c r="S959" s="1">
        <v>44452</v>
      </c>
      <c r="T959" s="1">
        <v>44452</v>
      </c>
      <c r="U959">
        <v>37501</v>
      </c>
      <c r="V959" t="s">
        <v>61</v>
      </c>
      <c r="W959" t="s">
        <v>1845</v>
      </c>
      <c r="X959" s="1">
        <v>44454</v>
      </c>
      <c r="Y959" t="s">
        <v>63</v>
      </c>
      <c r="Z959">
        <v>37.5</v>
      </c>
      <c r="AA959">
        <v>0</v>
      </c>
      <c r="AB959">
        <v>0</v>
      </c>
      <c r="AC959">
        <v>0</v>
      </c>
      <c r="AD959">
        <v>37.5</v>
      </c>
      <c r="AE959">
        <v>497.5</v>
      </c>
      <c r="AF959">
        <v>545</v>
      </c>
      <c r="AG959" t="s">
        <v>1816</v>
      </c>
      <c r="AH959" t="s">
        <v>65</v>
      </c>
      <c r="AI959" t="s">
        <v>65</v>
      </c>
      <c r="AJ959" t="s">
        <v>66</v>
      </c>
      <c r="AK959" t="s">
        <v>66</v>
      </c>
      <c r="AL959" t="s">
        <v>66</v>
      </c>
      <c r="AM959" s="2" t="str">
        <f>HYPERLINK("https://transparencia.cidesi.mx/comprobantes/2021/CQ2100807 /C2FACTURA_1631711198527_344777425.pdf")</f>
        <v>https://transparencia.cidesi.mx/comprobantes/2021/CQ2100807 /C2FACTURA_1631711198527_344777425.pdf</v>
      </c>
      <c r="AN959" t="str">
        <f>HYPERLINK("https://transparencia.cidesi.mx/comprobantes/2021/CQ2100807 /C2FACTURA_1631711198527_344777425.pdf")</f>
        <v>https://transparencia.cidesi.mx/comprobantes/2021/CQ2100807 /C2FACTURA_1631711198527_344777425.pdf</v>
      </c>
      <c r="AO959" t="str">
        <f>HYPERLINK("https://transparencia.cidesi.mx/comprobantes/2021/CQ2100807 /C2FACTURA_1631711199847_344777425.xml")</f>
        <v>https://transparencia.cidesi.mx/comprobantes/2021/CQ2100807 /C2FACTURA_1631711199847_344777425.xml</v>
      </c>
      <c r="AP959" t="s">
        <v>1844</v>
      </c>
      <c r="AQ959" t="s">
        <v>1846</v>
      </c>
      <c r="AR959" t="s">
        <v>1818</v>
      </c>
      <c r="AS959" t="s">
        <v>1833</v>
      </c>
      <c r="AT959" s="1">
        <v>44454</v>
      </c>
      <c r="AU959" s="1">
        <v>44470</v>
      </c>
    </row>
    <row r="960" spans="1:47" x14ac:dyDescent="0.3">
      <c r="A960" t="s">
        <v>47</v>
      </c>
      <c r="B960" t="s">
        <v>224</v>
      </c>
      <c r="C960" t="s">
        <v>225</v>
      </c>
      <c r="D960">
        <v>9122</v>
      </c>
      <c r="E960" t="s">
        <v>1812</v>
      </c>
      <c r="F960" t="s">
        <v>1398</v>
      </c>
      <c r="G960" t="s">
        <v>912</v>
      </c>
      <c r="H960" t="s">
        <v>1847</v>
      </c>
      <c r="I960" t="s">
        <v>54</v>
      </c>
      <c r="J960" t="s">
        <v>1844</v>
      </c>
      <c r="K960" t="s">
        <v>56</v>
      </c>
      <c r="L960">
        <v>0</v>
      </c>
      <c r="M960" t="s">
        <v>73</v>
      </c>
      <c r="N960">
        <v>0</v>
      </c>
      <c r="O960" t="s">
        <v>58</v>
      </c>
      <c r="P960" t="s">
        <v>59</v>
      </c>
      <c r="Q960" t="s">
        <v>1284</v>
      </c>
      <c r="R960" t="s">
        <v>1844</v>
      </c>
      <c r="S960" s="1">
        <v>44453</v>
      </c>
      <c r="T960" s="1">
        <v>44453</v>
      </c>
      <c r="U960">
        <v>37501</v>
      </c>
      <c r="V960" t="s">
        <v>61</v>
      </c>
      <c r="W960" t="s">
        <v>1848</v>
      </c>
      <c r="X960" s="1">
        <v>44454</v>
      </c>
      <c r="Y960" t="s">
        <v>63</v>
      </c>
      <c r="Z960">
        <v>295.47000000000003</v>
      </c>
      <c r="AA960">
        <v>16</v>
      </c>
      <c r="AB960">
        <v>47.28</v>
      </c>
      <c r="AC960">
        <v>0</v>
      </c>
      <c r="AD960">
        <v>342.75</v>
      </c>
      <c r="AE960">
        <v>406.25</v>
      </c>
      <c r="AF960">
        <v>545</v>
      </c>
      <c r="AG960" t="s">
        <v>1816</v>
      </c>
      <c r="AH960" t="s">
        <v>65</v>
      </c>
      <c r="AI960" t="s">
        <v>65</v>
      </c>
      <c r="AJ960" t="s">
        <v>66</v>
      </c>
      <c r="AK960" t="s">
        <v>66</v>
      </c>
      <c r="AL960" t="s">
        <v>66</v>
      </c>
      <c r="AM960" s="2" t="str">
        <f>HYPERLINK("https://transparencia.cidesi.mx/comprobantes/2021/CQ2100809 /C1FACTURAA24531.pdf")</f>
        <v>https://transparencia.cidesi.mx/comprobantes/2021/CQ2100809 /C1FACTURAA24531.pdf</v>
      </c>
      <c r="AN960" t="str">
        <f>HYPERLINK("https://transparencia.cidesi.mx/comprobantes/2021/CQ2100809 /C1FACTURAA24531.pdf")</f>
        <v>https://transparencia.cidesi.mx/comprobantes/2021/CQ2100809 /C1FACTURAA24531.pdf</v>
      </c>
      <c r="AO960" t="str">
        <f>HYPERLINK("https://transparencia.cidesi.mx/comprobantes/2021/CQ2100809 /C1FACTURAA24531.xml")</f>
        <v>https://transparencia.cidesi.mx/comprobantes/2021/CQ2100809 /C1FACTURAA24531.xml</v>
      </c>
      <c r="AP960" t="s">
        <v>1844</v>
      </c>
      <c r="AQ960" t="s">
        <v>1849</v>
      </c>
      <c r="AR960" t="s">
        <v>1818</v>
      </c>
      <c r="AS960" t="s">
        <v>1833</v>
      </c>
      <c r="AT960" s="1">
        <v>44454</v>
      </c>
      <c r="AU960" s="1">
        <v>44470</v>
      </c>
    </row>
    <row r="961" spans="1:47" x14ac:dyDescent="0.3">
      <c r="A961" t="s">
        <v>47</v>
      </c>
      <c r="B961" t="s">
        <v>224</v>
      </c>
      <c r="C961" t="s">
        <v>225</v>
      </c>
      <c r="D961">
        <v>9122</v>
      </c>
      <c r="E961" t="s">
        <v>1812</v>
      </c>
      <c r="F961" t="s">
        <v>1398</v>
      </c>
      <c r="G961" t="s">
        <v>912</v>
      </c>
      <c r="H961" t="s">
        <v>1847</v>
      </c>
      <c r="I961" t="s">
        <v>54</v>
      </c>
      <c r="J961" t="s">
        <v>1844</v>
      </c>
      <c r="K961" t="s">
        <v>56</v>
      </c>
      <c r="L961">
        <v>0</v>
      </c>
      <c r="M961" t="s">
        <v>73</v>
      </c>
      <c r="N961">
        <v>0</v>
      </c>
      <c r="O961" t="s">
        <v>58</v>
      </c>
      <c r="P961" t="s">
        <v>59</v>
      </c>
      <c r="Q961" t="s">
        <v>1284</v>
      </c>
      <c r="R961" t="s">
        <v>1844</v>
      </c>
      <c r="S961" s="1">
        <v>44453</v>
      </c>
      <c r="T961" s="1">
        <v>44453</v>
      </c>
      <c r="U961">
        <v>37501</v>
      </c>
      <c r="V961" t="s">
        <v>61</v>
      </c>
      <c r="W961" t="s">
        <v>1848</v>
      </c>
      <c r="X961" s="1">
        <v>44454</v>
      </c>
      <c r="Y961" t="s">
        <v>63</v>
      </c>
      <c r="Z961">
        <v>59.91</v>
      </c>
      <c r="AA961">
        <v>16</v>
      </c>
      <c r="AB961">
        <v>3.59</v>
      </c>
      <c r="AC961">
        <v>0</v>
      </c>
      <c r="AD961">
        <v>63.5</v>
      </c>
      <c r="AE961">
        <v>406.25</v>
      </c>
      <c r="AF961">
        <v>545</v>
      </c>
      <c r="AG961" t="s">
        <v>1816</v>
      </c>
      <c r="AH961" t="s">
        <v>65</v>
      </c>
      <c r="AI961" t="s">
        <v>65</v>
      </c>
      <c r="AJ961" t="s">
        <v>66</v>
      </c>
      <c r="AK961" t="s">
        <v>66</v>
      </c>
      <c r="AL961" t="s">
        <v>66</v>
      </c>
      <c r="AM961" s="2" t="str">
        <f>HYPERLINK("https://transparencia.cidesi.mx/comprobantes/2021/CQ2100809 /C2FACTURA_1631711419208_344777589.pdf")</f>
        <v>https://transparencia.cidesi.mx/comprobantes/2021/CQ2100809 /C2FACTURA_1631711419208_344777589.pdf</v>
      </c>
      <c r="AN961" t="str">
        <f>HYPERLINK("https://transparencia.cidesi.mx/comprobantes/2021/CQ2100809 /C2FACTURA_1631711419208_344777589.pdf")</f>
        <v>https://transparencia.cidesi.mx/comprobantes/2021/CQ2100809 /C2FACTURA_1631711419208_344777589.pdf</v>
      </c>
      <c r="AO961" t="str">
        <f>HYPERLINK("https://transparencia.cidesi.mx/comprobantes/2021/CQ2100809 /C2FACTURA_1631711420718_344777589.xml")</f>
        <v>https://transparencia.cidesi.mx/comprobantes/2021/CQ2100809 /C2FACTURA_1631711420718_344777589.xml</v>
      </c>
      <c r="AP961" t="s">
        <v>1844</v>
      </c>
      <c r="AQ961" t="s">
        <v>1849</v>
      </c>
      <c r="AR961" t="s">
        <v>1818</v>
      </c>
      <c r="AS961" t="s">
        <v>1833</v>
      </c>
      <c r="AT961" s="1">
        <v>44454</v>
      </c>
      <c r="AU961" s="1">
        <v>44470</v>
      </c>
    </row>
    <row r="962" spans="1:47" x14ac:dyDescent="0.3">
      <c r="A962" t="s">
        <v>47</v>
      </c>
      <c r="B962" t="s">
        <v>224</v>
      </c>
      <c r="C962" t="s">
        <v>225</v>
      </c>
      <c r="D962">
        <v>9122</v>
      </c>
      <c r="E962" t="s">
        <v>1812</v>
      </c>
      <c r="F962" t="s">
        <v>1398</v>
      </c>
      <c r="G962" t="s">
        <v>912</v>
      </c>
      <c r="H962" t="s">
        <v>1850</v>
      </c>
      <c r="I962" t="s">
        <v>54</v>
      </c>
      <c r="J962" t="s">
        <v>1844</v>
      </c>
      <c r="K962" t="s">
        <v>56</v>
      </c>
      <c r="L962">
        <v>0</v>
      </c>
      <c r="M962" t="s">
        <v>73</v>
      </c>
      <c r="N962">
        <v>0</v>
      </c>
      <c r="O962" t="s">
        <v>58</v>
      </c>
      <c r="P962" t="s">
        <v>59</v>
      </c>
      <c r="Q962" t="s">
        <v>1284</v>
      </c>
      <c r="R962" t="s">
        <v>1844</v>
      </c>
      <c r="S962" s="1">
        <v>44456</v>
      </c>
      <c r="T962" s="1">
        <v>44456</v>
      </c>
      <c r="U962">
        <v>37501</v>
      </c>
      <c r="V962" t="s">
        <v>61</v>
      </c>
      <c r="W962" t="s">
        <v>1851</v>
      </c>
      <c r="X962" s="1">
        <v>44459</v>
      </c>
      <c r="Y962" t="s">
        <v>63</v>
      </c>
      <c r="Z962">
        <v>406.9</v>
      </c>
      <c r="AA962">
        <v>16</v>
      </c>
      <c r="AB962">
        <v>65.099999999999994</v>
      </c>
      <c r="AC962">
        <v>0</v>
      </c>
      <c r="AD962">
        <v>472</v>
      </c>
      <c r="AE962">
        <v>532.5</v>
      </c>
      <c r="AF962">
        <v>545</v>
      </c>
      <c r="AG962" t="s">
        <v>1816</v>
      </c>
      <c r="AH962" t="s">
        <v>65</v>
      </c>
      <c r="AI962" t="s">
        <v>65</v>
      </c>
      <c r="AJ962" t="s">
        <v>66</v>
      </c>
      <c r="AK962" t="s">
        <v>66</v>
      </c>
      <c r="AL962" t="s">
        <v>66</v>
      </c>
      <c r="AM962" s="2" t="str">
        <f>HYPERLINK("https://transparencia.cidesi.mx/comprobantes/2021/CQ2100836 /C1CID840309UG7FF0000006411.pdf")</f>
        <v>https://transparencia.cidesi.mx/comprobantes/2021/CQ2100836 /C1CID840309UG7FF0000006411.pdf</v>
      </c>
      <c r="AN962" t="str">
        <f>HYPERLINK("https://transparencia.cidesi.mx/comprobantes/2021/CQ2100836 /C1CID840309UG7FF0000006411.pdf")</f>
        <v>https://transparencia.cidesi.mx/comprobantes/2021/CQ2100836 /C1CID840309UG7FF0000006411.pdf</v>
      </c>
      <c r="AO962" t="str">
        <f>HYPERLINK("https://transparencia.cidesi.mx/comprobantes/2021/CQ2100836 /C1CID840309UG7FF0000006411.xml")</f>
        <v>https://transparencia.cidesi.mx/comprobantes/2021/CQ2100836 /C1CID840309UG7FF0000006411.xml</v>
      </c>
      <c r="AP962" t="s">
        <v>1844</v>
      </c>
      <c r="AQ962" t="s">
        <v>1852</v>
      </c>
      <c r="AR962" t="s">
        <v>1818</v>
      </c>
      <c r="AS962" t="s">
        <v>1833</v>
      </c>
      <c r="AT962" s="1">
        <v>44461</v>
      </c>
      <c r="AU962" s="1">
        <v>44470</v>
      </c>
    </row>
    <row r="963" spans="1:47" x14ac:dyDescent="0.3">
      <c r="A963" t="s">
        <v>47</v>
      </c>
      <c r="B963" t="s">
        <v>224</v>
      </c>
      <c r="C963" t="s">
        <v>225</v>
      </c>
      <c r="D963">
        <v>9122</v>
      </c>
      <c r="E963" t="s">
        <v>1812</v>
      </c>
      <c r="F963" t="s">
        <v>1398</v>
      </c>
      <c r="G963" t="s">
        <v>912</v>
      </c>
      <c r="H963" t="s">
        <v>1850</v>
      </c>
      <c r="I963" t="s">
        <v>54</v>
      </c>
      <c r="J963" t="s">
        <v>1844</v>
      </c>
      <c r="K963" t="s">
        <v>56</v>
      </c>
      <c r="L963">
        <v>0</v>
      </c>
      <c r="M963" t="s">
        <v>73</v>
      </c>
      <c r="N963">
        <v>0</v>
      </c>
      <c r="O963" t="s">
        <v>58</v>
      </c>
      <c r="P963" t="s">
        <v>59</v>
      </c>
      <c r="Q963" t="s">
        <v>1284</v>
      </c>
      <c r="R963" t="s">
        <v>1844</v>
      </c>
      <c r="S963" s="1">
        <v>44456</v>
      </c>
      <c r="T963" s="1">
        <v>44456</v>
      </c>
      <c r="U963">
        <v>37501</v>
      </c>
      <c r="V963" t="s">
        <v>61</v>
      </c>
      <c r="W963" t="s">
        <v>1851</v>
      </c>
      <c r="X963" s="1">
        <v>44459</v>
      </c>
      <c r="Y963" t="s">
        <v>63</v>
      </c>
      <c r="Z963">
        <v>56.91</v>
      </c>
      <c r="AA963">
        <v>16</v>
      </c>
      <c r="AB963">
        <v>3.59</v>
      </c>
      <c r="AC963">
        <v>0</v>
      </c>
      <c r="AD963">
        <v>60.5</v>
      </c>
      <c r="AE963">
        <v>532.5</v>
      </c>
      <c r="AF963">
        <v>545</v>
      </c>
      <c r="AG963" t="s">
        <v>1816</v>
      </c>
      <c r="AH963" t="s">
        <v>65</v>
      </c>
      <c r="AI963" t="s">
        <v>65</v>
      </c>
      <c r="AJ963" t="s">
        <v>66</v>
      </c>
      <c r="AK963" t="s">
        <v>66</v>
      </c>
      <c r="AL963" t="s">
        <v>66</v>
      </c>
      <c r="AM963" s="2" t="str">
        <f>HYPERLINK("https://transparencia.cidesi.mx/comprobantes/2021/CQ2100836 /C2FACTURA_1632057138013_345123135.pdf")</f>
        <v>https://transparencia.cidesi.mx/comprobantes/2021/CQ2100836 /C2FACTURA_1632057138013_345123135.pdf</v>
      </c>
      <c r="AN963" t="str">
        <f>HYPERLINK("https://transparencia.cidesi.mx/comprobantes/2021/CQ2100836 /C2FACTURA_1632057138013_345123135.pdf")</f>
        <v>https://transparencia.cidesi.mx/comprobantes/2021/CQ2100836 /C2FACTURA_1632057138013_345123135.pdf</v>
      </c>
      <c r="AO963" t="str">
        <f>HYPERLINK("https://transparencia.cidesi.mx/comprobantes/2021/CQ2100836 /C2FACTURA_1632057139363_345123135.xml")</f>
        <v>https://transparencia.cidesi.mx/comprobantes/2021/CQ2100836 /C2FACTURA_1632057139363_345123135.xml</v>
      </c>
      <c r="AP963" t="s">
        <v>1844</v>
      </c>
      <c r="AQ963" t="s">
        <v>1852</v>
      </c>
      <c r="AR963" t="s">
        <v>1818</v>
      </c>
      <c r="AS963" t="s">
        <v>1833</v>
      </c>
      <c r="AT963" s="1">
        <v>44461</v>
      </c>
      <c r="AU963" s="1">
        <v>44470</v>
      </c>
    </row>
    <row r="964" spans="1:47" x14ac:dyDescent="0.3">
      <c r="A964" t="s">
        <v>47</v>
      </c>
      <c r="B964" t="s">
        <v>224</v>
      </c>
      <c r="C964" t="s">
        <v>225</v>
      </c>
      <c r="D964">
        <v>9122</v>
      </c>
      <c r="E964" t="s">
        <v>1812</v>
      </c>
      <c r="F964" t="s">
        <v>1398</v>
      </c>
      <c r="G964" t="s">
        <v>912</v>
      </c>
      <c r="H964" t="s">
        <v>1853</v>
      </c>
      <c r="I964" t="s">
        <v>54</v>
      </c>
      <c r="J964" t="s">
        <v>1814</v>
      </c>
      <c r="K964" t="s">
        <v>56</v>
      </c>
      <c r="L964">
        <v>0</v>
      </c>
      <c r="M964" t="s">
        <v>73</v>
      </c>
      <c r="N964">
        <v>0</v>
      </c>
      <c r="O964" t="s">
        <v>58</v>
      </c>
      <c r="P964" t="s">
        <v>59</v>
      </c>
      <c r="Q964" t="s">
        <v>216</v>
      </c>
      <c r="R964" t="s">
        <v>1814</v>
      </c>
      <c r="S964" s="1">
        <v>44458</v>
      </c>
      <c r="T964" s="1">
        <v>44458</v>
      </c>
      <c r="U964">
        <v>37501</v>
      </c>
      <c r="V964" t="s">
        <v>61</v>
      </c>
      <c r="W964" t="s">
        <v>1854</v>
      </c>
      <c r="X964" s="1">
        <v>44459</v>
      </c>
      <c r="Y964" t="s">
        <v>63</v>
      </c>
      <c r="Z964">
        <v>383.62</v>
      </c>
      <c r="AA964">
        <v>16</v>
      </c>
      <c r="AB964">
        <v>61.38</v>
      </c>
      <c r="AC964">
        <v>45</v>
      </c>
      <c r="AD964">
        <v>490</v>
      </c>
      <c r="AE964">
        <v>490</v>
      </c>
      <c r="AF964">
        <v>545</v>
      </c>
      <c r="AG964" t="s">
        <v>1816</v>
      </c>
      <c r="AH964" t="s">
        <v>65</v>
      </c>
      <c r="AI964" t="s">
        <v>65</v>
      </c>
      <c r="AJ964" t="s">
        <v>66</v>
      </c>
      <c r="AK964" t="s">
        <v>66</v>
      </c>
      <c r="AL964" t="s">
        <v>66</v>
      </c>
      <c r="AM964" s="2" t="str">
        <f>HYPERLINK("https://transparencia.cidesi.mx/comprobantes/2021/CQ2100837 /C1CID840309UG7F0000019615.pdf")</f>
        <v>https://transparencia.cidesi.mx/comprobantes/2021/CQ2100837 /C1CID840309UG7F0000019615.pdf</v>
      </c>
      <c r="AN964" t="str">
        <f>HYPERLINK("https://transparencia.cidesi.mx/comprobantes/2021/CQ2100837 /C1CID840309UG7F0000019615.pdf")</f>
        <v>https://transparencia.cidesi.mx/comprobantes/2021/CQ2100837 /C1CID840309UG7F0000019615.pdf</v>
      </c>
      <c r="AO964" t="str">
        <f>HYPERLINK("https://transparencia.cidesi.mx/comprobantes/2021/CQ2100837 /C1CID840309UG7F0000019615.xml")</f>
        <v>https://transparencia.cidesi.mx/comprobantes/2021/CQ2100837 /C1CID840309UG7F0000019615.xml</v>
      </c>
      <c r="AP964" t="s">
        <v>1814</v>
      </c>
      <c r="AQ964" t="s">
        <v>1855</v>
      </c>
      <c r="AR964" t="s">
        <v>1818</v>
      </c>
      <c r="AS964" t="s">
        <v>1833</v>
      </c>
      <c r="AT964" s="1">
        <v>44461</v>
      </c>
      <c r="AU964" s="1">
        <v>44470</v>
      </c>
    </row>
    <row r="965" spans="1:47" x14ac:dyDescent="0.3">
      <c r="A965" t="s">
        <v>47</v>
      </c>
      <c r="B965" t="s">
        <v>224</v>
      </c>
      <c r="C965" t="s">
        <v>225</v>
      </c>
      <c r="D965">
        <v>9122</v>
      </c>
      <c r="E965" t="s">
        <v>1812</v>
      </c>
      <c r="F965" t="s">
        <v>1398</v>
      </c>
      <c r="G965" t="s">
        <v>912</v>
      </c>
      <c r="H965" t="s">
        <v>1856</v>
      </c>
      <c r="I965" t="s">
        <v>54</v>
      </c>
      <c r="J965" t="s">
        <v>1844</v>
      </c>
      <c r="K965" t="s">
        <v>56</v>
      </c>
      <c r="L965">
        <v>0</v>
      </c>
      <c r="M965" t="s">
        <v>73</v>
      </c>
      <c r="N965">
        <v>0</v>
      </c>
      <c r="O965" t="s">
        <v>58</v>
      </c>
      <c r="P965" t="s">
        <v>59</v>
      </c>
      <c r="Q965" t="s">
        <v>1284</v>
      </c>
      <c r="R965" t="s">
        <v>1844</v>
      </c>
      <c r="S965" s="1">
        <v>44459</v>
      </c>
      <c r="T965" s="1">
        <v>44459</v>
      </c>
      <c r="U965">
        <v>37501</v>
      </c>
      <c r="V965" t="s">
        <v>61</v>
      </c>
      <c r="W965" t="s">
        <v>1857</v>
      </c>
      <c r="X965" s="1">
        <v>44459</v>
      </c>
      <c r="Y965" t="s">
        <v>63</v>
      </c>
      <c r="Z965">
        <v>377.79</v>
      </c>
      <c r="AA965">
        <v>16</v>
      </c>
      <c r="AB965">
        <v>54.21</v>
      </c>
      <c r="AC965">
        <v>0</v>
      </c>
      <c r="AD965">
        <v>432</v>
      </c>
      <c r="AE965">
        <v>490</v>
      </c>
      <c r="AF965">
        <v>545</v>
      </c>
      <c r="AG965" t="s">
        <v>1816</v>
      </c>
      <c r="AH965" t="s">
        <v>65</v>
      </c>
      <c r="AI965" t="s">
        <v>65</v>
      </c>
      <c r="AJ965" t="s">
        <v>66</v>
      </c>
      <c r="AK965" t="s">
        <v>66</v>
      </c>
      <c r="AL965" t="s">
        <v>66</v>
      </c>
      <c r="AM965" s="2" t="str">
        <f>HYPERLINK("https://transparencia.cidesi.mx/comprobantes/2021/CQ2100838 /C1GEX0108298K9FB0000091508.pdf")</f>
        <v>https://transparencia.cidesi.mx/comprobantes/2021/CQ2100838 /C1GEX0108298K9FB0000091508.pdf</v>
      </c>
      <c r="AN965" t="str">
        <f>HYPERLINK("https://transparencia.cidesi.mx/comprobantes/2021/CQ2100838 /C1GEX0108298K9FB0000091508.pdf")</f>
        <v>https://transparencia.cidesi.mx/comprobantes/2021/CQ2100838 /C1GEX0108298K9FB0000091508.pdf</v>
      </c>
      <c r="AO965" t="str">
        <f>HYPERLINK("https://transparencia.cidesi.mx/comprobantes/2021/CQ2100838 /C1GEX0108298K9FB0000091508.xml")</f>
        <v>https://transparencia.cidesi.mx/comprobantes/2021/CQ2100838 /C1GEX0108298K9FB0000091508.xml</v>
      </c>
      <c r="AP965" t="s">
        <v>1844</v>
      </c>
      <c r="AQ965" t="s">
        <v>1858</v>
      </c>
      <c r="AR965" t="s">
        <v>1818</v>
      </c>
      <c r="AS965" t="s">
        <v>1833</v>
      </c>
      <c r="AT965" s="1">
        <v>44461</v>
      </c>
      <c r="AU965" s="1">
        <v>44470</v>
      </c>
    </row>
    <row r="966" spans="1:47" x14ac:dyDescent="0.3">
      <c r="A966" t="s">
        <v>47</v>
      </c>
      <c r="B966" t="s">
        <v>224</v>
      </c>
      <c r="C966" t="s">
        <v>225</v>
      </c>
      <c r="D966">
        <v>9122</v>
      </c>
      <c r="E966" t="s">
        <v>1812</v>
      </c>
      <c r="F966" t="s">
        <v>1398</v>
      </c>
      <c r="G966" t="s">
        <v>912</v>
      </c>
      <c r="H966" t="s">
        <v>1856</v>
      </c>
      <c r="I966" t="s">
        <v>54</v>
      </c>
      <c r="J966" t="s">
        <v>1844</v>
      </c>
      <c r="K966" t="s">
        <v>56</v>
      </c>
      <c r="L966">
        <v>0</v>
      </c>
      <c r="M966" t="s">
        <v>73</v>
      </c>
      <c r="N966">
        <v>0</v>
      </c>
      <c r="O966" t="s">
        <v>58</v>
      </c>
      <c r="P966" t="s">
        <v>59</v>
      </c>
      <c r="Q966" t="s">
        <v>1284</v>
      </c>
      <c r="R966" t="s">
        <v>1844</v>
      </c>
      <c r="S966" s="1">
        <v>44459</v>
      </c>
      <c r="T966" s="1">
        <v>44459</v>
      </c>
      <c r="U966">
        <v>37501</v>
      </c>
      <c r="V966" t="s">
        <v>61</v>
      </c>
      <c r="W966" t="s">
        <v>1857</v>
      </c>
      <c r="X966" s="1">
        <v>44459</v>
      </c>
      <c r="Y966" t="s">
        <v>63</v>
      </c>
      <c r="Z966">
        <v>58</v>
      </c>
      <c r="AA966">
        <v>0</v>
      </c>
      <c r="AB966">
        <v>0</v>
      </c>
      <c r="AC966">
        <v>0</v>
      </c>
      <c r="AD966">
        <v>58</v>
      </c>
      <c r="AE966">
        <v>490</v>
      </c>
      <c r="AF966">
        <v>545</v>
      </c>
      <c r="AG966" t="s">
        <v>1816</v>
      </c>
      <c r="AH966" t="s">
        <v>65</v>
      </c>
      <c r="AI966" t="s">
        <v>65</v>
      </c>
      <c r="AJ966" t="s">
        <v>66</v>
      </c>
      <c r="AK966" t="s">
        <v>66</v>
      </c>
      <c r="AL966" t="s">
        <v>66</v>
      </c>
      <c r="AM966" s="2" t="str">
        <f>HYPERLINK("https://transparencia.cidesi.mx/comprobantes/2021/CQ2100838 /C2FACTURA_1632175576449_345290073.pdf")</f>
        <v>https://transparencia.cidesi.mx/comprobantes/2021/CQ2100838 /C2FACTURA_1632175576449_345290073.pdf</v>
      </c>
      <c r="AN966" t="str">
        <f>HYPERLINK("https://transparencia.cidesi.mx/comprobantes/2021/CQ2100838 /C2FACTURA_1632175576449_345290073.pdf")</f>
        <v>https://transparencia.cidesi.mx/comprobantes/2021/CQ2100838 /C2FACTURA_1632175576449_345290073.pdf</v>
      </c>
      <c r="AO966" t="str">
        <f>HYPERLINK("https://transparencia.cidesi.mx/comprobantes/2021/CQ2100838 /C2FACTURA_1632175577609_345290073.xml")</f>
        <v>https://transparencia.cidesi.mx/comprobantes/2021/CQ2100838 /C2FACTURA_1632175577609_345290073.xml</v>
      </c>
      <c r="AP966" t="s">
        <v>1844</v>
      </c>
      <c r="AQ966" t="s">
        <v>1858</v>
      </c>
      <c r="AR966" t="s">
        <v>1818</v>
      </c>
      <c r="AS966" t="s">
        <v>1833</v>
      </c>
      <c r="AT966" s="1">
        <v>44461</v>
      </c>
      <c r="AU966" s="1">
        <v>44470</v>
      </c>
    </row>
    <row r="967" spans="1:47" x14ac:dyDescent="0.3">
      <c r="A967" t="s">
        <v>47</v>
      </c>
      <c r="B967" t="s">
        <v>224</v>
      </c>
      <c r="C967" t="s">
        <v>225</v>
      </c>
      <c r="D967">
        <v>9122</v>
      </c>
      <c r="E967" t="s">
        <v>1812</v>
      </c>
      <c r="F967" t="s">
        <v>1398</v>
      </c>
      <c r="G967" t="s">
        <v>912</v>
      </c>
      <c r="H967" t="s">
        <v>1859</v>
      </c>
      <c r="I967" t="s">
        <v>54</v>
      </c>
      <c r="J967" t="s">
        <v>1860</v>
      </c>
      <c r="K967" t="s">
        <v>56</v>
      </c>
      <c r="L967">
        <v>0</v>
      </c>
      <c r="M967" t="s">
        <v>73</v>
      </c>
      <c r="N967">
        <v>0</v>
      </c>
      <c r="O967" t="s">
        <v>58</v>
      </c>
      <c r="P967" t="s">
        <v>59</v>
      </c>
      <c r="Q967" t="s">
        <v>1284</v>
      </c>
      <c r="R967" t="s">
        <v>1860</v>
      </c>
      <c r="S967" s="1">
        <v>44462</v>
      </c>
      <c r="T967" s="1">
        <v>44462</v>
      </c>
      <c r="U967">
        <v>37501</v>
      </c>
      <c r="V967" t="s">
        <v>61</v>
      </c>
      <c r="W967" t="s">
        <v>1861</v>
      </c>
      <c r="X967" s="1">
        <v>44466</v>
      </c>
      <c r="Y967" t="s">
        <v>63</v>
      </c>
      <c r="Z967">
        <v>404.93</v>
      </c>
      <c r="AA967">
        <v>16</v>
      </c>
      <c r="AB967">
        <v>58.07</v>
      </c>
      <c r="AC967">
        <v>0</v>
      </c>
      <c r="AD967">
        <v>463</v>
      </c>
      <c r="AE967">
        <v>532.5</v>
      </c>
      <c r="AF967">
        <v>545</v>
      </c>
      <c r="AG967" t="s">
        <v>1816</v>
      </c>
      <c r="AH967" t="s">
        <v>65</v>
      </c>
      <c r="AI967" t="s">
        <v>65</v>
      </c>
      <c r="AJ967" t="s">
        <v>66</v>
      </c>
      <c r="AK967" t="s">
        <v>66</v>
      </c>
      <c r="AL967" t="s">
        <v>66</v>
      </c>
      <c r="AM967" s="2" t="str">
        <f>HYPERLINK("https://transparencia.cidesi.mx/comprobantes/2021/CQ2100885 /C1GEX0108298K9FB0000091616.pdf")</f>
        <v>https://transparencia.cidesi.mx/comprobantes/2021/CQ2100885 /C1GEX0108298K9FB0000091616.pdf</v>
      </c>
      <c r="AN967" t="str">
        <f>HYPERLINK("https://transparencia.cidesi.mx/comprobantes/2021/CQ2100885 /C1GEX0108298K9FB0000091616.pdf")</f>
        <v>https://transparencia.cidesi.mx/comprobantes/2021/CQ2100885 /C1GEX0108298K9FB0000091616.pdf</v>
      </c>
      <c r="AO967" t="str">
        <f>HYPERLINK("https://transparencia.cidesi.mx/comprobantes/2021/CQ2100885 /C1GEX0108298K9FB0000091616.xml")</f>
        <v>https://transparencia.cidesi.mx/comprobantes/2021/CQ2100885 /C1GEX0108298K9FB0000091616.xml</v>
      </c>
      <c r="AP967" t="s">
        <v>1860</v>
      </c>
      <c r="AQ967" t="s">
        <v>1862</v>
      </c>
      <c r="AR967" t="s">
        <v>1818</v>
      </c>
      <c r="AS967" t="s">
        <v>1833</v>
      </c>
      <c r="AT967" s="1">
        <v>44466</v>
      </c>
      <c r="AU967" s="1">
        <v>44470</v>
      </c>
    </row>
    <row r="968" spans="1:47" x14ac:dyDescent="0.3">
      <c r="A968" t="s">
        <v>47</v>
      </c>
      <c r="B968" t="s">
        <v>224</v>
      </c>
      <c r="C968" t="s">
        <v>225</v>
      </c>
      <c r="D968">
        <v>9122</v>
      </c>
      <c r="E968" t="s">
        <v>1812</v>
      </c>
      <c r="F968" t="s">
        <v>1398</v>
      </c>
      <c r="G968" t="s">
        <v>912</v>
      </c>
      <c r="H968" t="s">
        <v>1859</v>
      </c>
      <c r="I968" t="s">
        <v>54</v>
      </c>
      <c r="J968" t="s">
        <v>1860</v>
      </c>
      <c r="K968" t="s">
        <v>56</v>
      </c>
      <c r="L968">
        <v>0</v>
      </c>
      <c r="M968" t="s">
        <v>73</v>
      </c>
      <c r="N968">
        <v>0</v>
      </c>
      <c r="O968" t="s">
        <v>58</v>
      </c>
      <c r="P968" t="s">
        <v>59</v>
      </c>
      <c r="Q968" t="s">
        <v>1284</v>
      </c>
      <c r="R968" t="s">
        <v>1860</v>
      </c>
      <c r="S968" s="1">
        <v>44462</v>
      </c>
      <c r="T968" s="1">
        <v>44462</v>
      </c>
      <c r="U968">
        <v>37501</v>
      </c>
      <c r="V968" t="s">
        <v>61</v>
      </c>
      <c r="W968" t="s">
        <v>1861</v>
      </c>
      <c r="X968" s="1">
        <v>44466</v>
      </c>
      <c r="Y968" t="s">
        <v>63</v>
      </c>
      <c r="Z968">
        <v>63.08</v>
      </c>
      <c r="AA968">
        <v>16</v>
      </c>
      <c r="AB968">
        <v>6.42</v>
      </c>
      <c r="AC968">
        <v>0</v>
      </c>
      <c r="AD968">
        <v>69.5</v>
      </c>
      <c r="AE968">
        <v>532.5</v>
      </c>
      <c r="AF968">
        <v>545</v>
      </c>
      <c r="AG968" t="s">
        <v>1816</v>
      </c>
      <c r="AH968" t="s">
        <v>65</v>
      </c>
      <c r="AI968" t="s">
        <v>65</v>
      </c>
      <c r="AJ968" t="s">
        <v>66</v>
      </c>
      <c r="AK968" t="s">
        <v>66</v>
      </c>
      <c r="AL968" t="s">
        <v>66</v>
      </c>
      <c r="AM968" s="2" t="str">
        <f>HYPERLINK("https://transparencia.cidesi.mx/comprobantes/2021/CQ2100885 /C2FACTURA_1632521105820_345816273.pdf")</f>
        <v>https://transparencia.cidesi.mx/comprobantes/2021/CQ2100885 /C2FACTURA_1632521105820_345816273.pdf</v>
      </c>
      <c r="AN968" t="str">
        <f>HYPERLINK("https://transparencia.cidesi.mx/comprobantes/2021/CQ2100885 /C2FACTURA_1632521105820_345816273.pdf")</f>
        <v>https://transparencia.cidesi.mx/comprobantes/2021/CQ2100885 /C2FACTURA_1632521105820_345816273.pdf</v>
      </c>
      <c r="AO968" t="str">
        <f>HYPERLINK("https://transparencia.cidesi.mx/comprobantes/2021/CQ2100885 /C2FACTURA_1632521107080_345816273.xml")</f>
        <v>https://transparencia.cidesi.mx/comprobantes/2021/CQ2100885 /C2FACTURA_1632521107080_345816273.xml</v>
      </c>
      <c r="AP968" t="s">
        <v>1860</v>
      </c>
      <c r="AQ968" t="s">
        <v>1862</v>
      </c>
      <c r="AR968" t="s">
        <v>1818</v>
      </c>
      <c r="AS968" t="s">
        <v>1833</v>
      </c>
      <c r="AT968" s="1">
        <v>44466</v>
      </c>
      <c r="AU968" s="1">
        <v>44470</v>
      </c>
    </row>
    <row r="969" spans="1:47" x14ac:dyDescent="0.3">
      <c r="A969" t="s">
        <v>47</v>
      </c>
      <c r="B969" t="s">
        <v>224</v>
      </c>
      <c r="C969" t="s">
        <v>225</v>
      </c>
      <c r="D969">
        <v>9122</v>
      </c>
      <c r="E969" t="s">
        <v>1812</v>
      </c>
      <c r="F969" t="s">
        <v>1398</v>
      </c>
      <c r="G969" t="s">
        <v>912</v>
      </c>
      <c r="H969" t="s">
        <v>1863</v>
      </c>
      <c r="I969" t="s">
        <v>54</v>
      </c>
      <c r="J969" t="s">
        <v>1860</v>
      </c>
      <c r="K969" t="s">
        <v>56</v>
      </c>
      <c r="L969">
        <v>0</v>
      </c>
      <c r="M969" t="s">
        <v>73</v>
      </c>
      <c r="N969">
        <v>0</v>
      </c>
      <c r="O969" t="s">
        <v>58</v>
      </c>
      <c r="P969" t="s">
        <v>59</v>
      </c>
      <c r="Q969" t="s">
        <v>1284</v>
      </c>
      <c r="R969" t="s">
        <v>1860</v>
      </c>
      <c r="S969" s="1">
        <v>44463</v>
      </c>
      <c r="T969" s="1">
        <v>44463</v>
      </c>
      <c r="U969">
        <v>37501</v>
      </c>
      <c r="V969" t="s">
        <v>61</v>
      </c>
      <c r="W969" t="s">
        <v>1864</v>
      </c>
      <c r="X969" s="1">
        <v>44466</v>
      </c>
      <c r="Y969" t="s">
        <v>63</v>
      </c>
      <c r="Z969">
        <v>359.48</v>
      </c>
      <c r="AA969">
        <v>16</v>
      </c>
      <c r="AB969">
        <v>57.52</v>
      </c>
      <c r="AC969">
        <v>0</v>
      </c>
      <c r="AD969">
        <v>417</v>
      </c>
      <c r="AE969">
        <v>475.5</v>
      </c>
      <c r="AF969">
        <v>545</v>
      </c>
      <c r="AG969" t="s">
        <v>1816</v>
      </c>
      <c r="AH969" t="s">
        <v>65</v>
      </c>
      <c r="AI969" t="s">
        <v>65</v>
      </c>
      <c r="AJ969" t="s">
        <v>66</v>
      </c>
      <c r="AK969" t="s">
        <v>66</v>
      </c>
      <c r="AL969" t="s">
        <v>66</v>
      </c>
      <c r="AM969" s="2" t="str">
        <f>HYPERLINK("https://transparencia.cidesi.mx/comprobantes/2021/CQ2100887 /C1FA-RN026150-AULG430317679.pdf")</f>
        <v>https://transparencia.cidesi.mx/comprobantes/2021/CQ2100887 /C1FA-RN026150-AULG430317679.pdf</v>
      </c>
      <c r="AN969" t="str">
        <f>HYPERLINK("https://transparencia.cidesi.mx/comprobantes/2021/CQ2100887 /C1FA-RN026150-AULG430317679.pdf")</f>
        <v>https://transparencia.cidesi.mx/comprobantes/2021/CQ2100887 /C1FA-RN026150-AULG430317679.pdf</v>
      </c>
      <c r="AO969" t="str">
        <f>HYPERLINK("https://transparencia.cidesi.mx/comprobantes/2021/CQ2100887 /C1FA-RN026150-AULG430317679.xml")</f>
        <v>https://transparencia.cidesi.mx/comprobantes/2021/CQ2100887 /C1FA-RN026150-AULG430317679.xml</v>
      </c>
      <c r="AP969" t="s">
        <v>1860</v>
      </c>
      <c r="AQ969" t="s">
        <v>1865</v>
      </c>
      <c r="AR969" t="s">
        <v>1818</v>
      </c>
      <c r="AS969" t="s">
        <v>1833</v>
      </c>
      <c r="AT969" s="1">
        <v>44466</v>
      </c>
      <c r="AU969" s="1">
        <v>44470</v>
      </c>
    </row>
    <row r="970" spans="1:47" x14ac:dyDescent="0.3">
      <c r="A970" t="s">
        <v>47</v>
      </c>
      <c r="B970" t="s">
        <v>224</v>
      </c>
      <c r="C970" t="s">
        <v>225</v>
      </c>
      <c r="D970">
        <v>9122</v>
      </c>
      <c r="E970" t="s">
        <v>1812</v>
      </c>
      <c r="F970" t="s">
        <v>1398</v>
      </c>
      <c r="G970" t="s">
        <v>912</v>
      </c>
      <c r="H970" t="s">
        <v>1863</v>
      </c>
      <c r="I970" t="s">
        <v>54</v>
      </c>
      <c r="J970" t="s">
        <v>1860</v>
      </c>
      <c r="K970" t="s">
        <v>56</v>
      </c>
      <c r="L970">
        <v>0</v>
      </c>
      <c r="M970" t="s">
        <v>73</v>
      </c>
      <c r="N970">
        <v>0</v>
      </c>
      <c r="O970" t="s">
        <v>58</v>
      </c>
      <c r="P970" t="s">
        <v>59</v>
      </c>
      <c r="Q970" t="s">
        <v>1284</v>
      </c>
      <c r="R970" t="s">
        <v>1860</v>
      </c>
      <c r="S970" s="1">
        <v>44463</v>
      </c>
      <c r="T970" s="1">
        <v>44463</v>
      </c>
      <c r="U970">
        <v>37501</v>
      </c>
      <c r="V970" t="s">
        <v>61</v>
      </c>
      <c r="W970" t="s">
        <v>1864</v>
      </c>
      <c r="X970" s="1">
        <v>44466</v>
      </c>
      <c r="Y970" t="s">
        <v>63</v>
      </c>
      <c r="Z970">
        <v>54.84</v>
      </c>
      <c r="AA970">
        <v>16</v>
      </c>
      <c r="AB970">
        <v>3.66</v>
      </c>
      <c r="AC970">
        <v>0</v>
      </c>
      <c r="AD970">
        <v>58.5</v>
      </c>
      <c r="AE970">
        <v>475.5</v>
      </c>
      <c r="AF970">
        <v>545</v>
      </c>
      <c r="AG970" t="s">
        <v>1816</v>
      </c>
      <c r="AH970" t="s">
        <v>65</v>
      </c>
      <c r="AI970" t="s">
        <v>65</v>
      </c>
      <c r="AJ970" t="s">
        <v>66</v>
      </c>
      <c r="AK970" t="s">
        <v>66</v>
      </c>
      <c r="AL970" t="s">
        <v>66</v>
      </c>
      <c r="AM970" s="2" t="str">
        <f>HYPERLINK("https://transparencia.cidesi.mx/comprobantes/2021/CQ2100887 /C2FACTURA_1632521205270_345816443.pdf")</f>
        <v>https://transparencia.cidesi.mx/comprobantes/2021/CQ2100887 /C2FACTURA_1632521205270_345816443.pdf</v>
      </c>
      <c r="AN970" t="str">
        <f>HYPERLINK("https://transparencia.cidesi.mx/comprobantes/2021/CQ2100887 /C2FACTURA_1632521205270_345816443.pdf")</f>
        <v>https://transparencia.cidesi.mx/comprobantes/2021/CQ2100887 /C2FACTURA_1632521205270_345816443.pdf</v>
      </c>
      <c r="AO970" t="str">
        <f>HYPERLINK("https://transparencia.cidesi.mx/comprobantes/2021/CQ2100887 /C2FACTURA_1632521206630_345816443.xml")</f>
        <v>https://transparencia.cidesi.mx/comprobantes/2021/CQ2100887 /C2FACTURA_1632521206630_345816443.xml</v>
      </c>
      <c r="AP970" t="s">
        <v>1860</v>
      </c>
      <c r="AQ970" t="s">
        <v>1865</v>
      </c>
      <c r="AR970" t="s">
        <v>1818</v>
      </c>
      <c r="AS970" t="s">
        <v>1833</v>
      </c>
      <c r="AT970" s="1">
        <v>44466</v>
      </c>
      <c r="AU970" s="1">
        <v>44470</v>
      </c>
    </row>
    <row r="971" spans="1:47" x14ac:dyDescent="0.3">
      <c r="A971" t="s">
        <v>47</v>
      </c>
      <c r="B971" t="s">
        <v>48</v>
      </c>
      <c r="C971" t="s">
        <v>392</v>
      </c>
      <c r="D971">
        <v>9136</v>
      </c>
      <c r="E971" t="s">
        <v>1866</v>
      </c>
      <c r="F971" t="s">
        <v>352</v>
      </c>
      <c r="G971" t="s">
        <v>912</v>
      </c>
      <c r="H971" t="s">
        <v>1867</v>
      </c>
      <c r="I971" t="s">
        <v>54</v>
      </c>
      <c r="J971" t="s">
        <v>1868</v>
      </c>
      <c r="K971" t="s">
        <v>56</v>
      </c>
      <c r="L971">
        <v>0</v>
      </c>
      <c r="M971" t="s">
        <v>73</v>
      </c>
      <c r="N971">
        <v>0</v>
      </c>
      <c r="O971" t="s">
        <v>58</v>
      </c>
      <c r="P971" t="s">
        <v>59</v>
      </c>
      <c r="Q971" t="s">
        <v>60</v>
      </c>
      <c r="R971" t="s">
        <v>1868</v>
      </c>
      <c r="S971" s="1">
        <v>44397</v>
      </c>
      <c r="T971" s="1">
        <v>44399</v>
      </c>
      <c r="U971">
        <v>37501</v>
      </c>
      <c r="V971" t="s">
        <v>61</v>
      </c>
      <c r="W971" t="s">
        <v>1869</v>
      </c>
      <c r="X971" s="1">
        <v>44406</v>
      </c>
      <c r="Y971" t="s">
        <v>100</v>
      </c>
      <c r="Z971">
        <v>267.3</v>
      </c>
      <c r="AA971">
        <v>16</v>
      </c>
      <c r="AB971">
        <v>15.1</v>
      </c>
      <c r="AC971">
        <v>0</v>
      </c>
      <c r="AD971">
        <v>282.39999999999998</v>
      </c>
      <c r="AE971">
        <v>2632.38</v>
      </c>
      <c r="AF971">
        <v>2727</v>
      </c>
      <c r="AG971" t="s">
        <v>1870</v>
      </c>
      <c r="AH971" t="s">
        <v>65</v>
      </c>
      <c r="AI971" t="s">
        <v>65</v>
      </c>
      <c r="AJ971" t="s">
        <v>66</v>
      </c>
      <c r="AK971" t="s">
        <v>66</v>
      </c>
      <c r="AL971" t="s">
        <v>66</v>
      </c>
      <c r="AM971" s="2" t="str">
        <f>HYPERLINK("https://transparencia.cidesi.mx/comprobantes/2021/CQ2100570 /C1FACTURA_1627584056804_338992743 282.pdf")</f>
        <v>https://transparencia.cidesi.mx/comprobantes/2021/CQ2100570 /C1FACTURA_1627584056804_338992743 282.pdf</v>
      </c>
      <c r="AN971" t="str">
        <f>HYPERLINK("https://transparencia.cidesi.mx/comprobantes/2021/CQ2100570 /C1FACTURA_1627584056804_338992743 282.pdf")</f>
        <v>https://transparencia.cidesi.mx/comprobantes/2021/CQ2100570 /C1FACTURA_1627584056804_338992743 282.pdf</v>
      </c>
      <c r="AO971" t="str">
        <f>HYPERLINK("https://transparencia.cidesi.mx/comprobantes/2021/CQ2100570 /C1FACTURA_1627584058224_338992743 (2).xml")</f>
        <v>https://transparencia.cidesi.mx/comprobantes/2021/CQ2100570 /C1FACTURA_1627584058224_338992743 (2).xml</v>
      </c>
      <c r="AP971" t="s">
        <v>1871</v>
      </c>
      <c r="AQ971" t="s">
        <v>1872</v>
      </c>
      <c r="AR971" t="s">
        <v>1873</v>
      </c>
      <c r="AS971" t="s">
        <v>1873</v>
      </c>
      <c r="AT971" s="1">
        <v>44407</v>
      </c>
      <c r="AU971" t="s">
        <v>73</v>
      </c>
    </row>
    <row r="972" spans="1:47" x14ac:dyDescent="0.3">
      <c r="A972" t="s">
        <v>47</v>
      </c>
      <c r="B972" t="s">
        <v>48</v>
      </c>
      <c r="C972" t="s">
        <v>392</v>
      </c>
      <c r="D972">
        <v>9136</v>
      </c>
      <c r="E972" t="s">
        <v>1866</v>
      </c>
      <c r="F972" t="s">
        <v>352</v>
      </c>
      <c r="G972" t="s">
        <v>912</v>
      </c>
      <c r="H972" t="s">
        <v>1867</v>
      </c>
      <c r="I972" t="s">
        <v>54</v>
      </c>
      <c r="J972" t="s">
        <v>1868</v>
      </c>
      <c r="K972" t="s">
        <v>56</v>
      </c>
      <c r="L972">
        <v>0</v>
      </c>
      <c r="M972" t="s">
        <v>73</v>
      </c>
      <c r="N972">
        <v>0</v>
      </c>
      <c r="O972" t="s">
        <v>58</v>
      </c>
      <c r="P972" t="s">
        <v>59</v>
      </c>
      <c r="Q972" t="s">
        <v>60</v>
      </c>
      <c r="R972" t="s">
        <v>1868</v>
      </c>
      <c r="S972" s="1">
        <v>44397</v>
      </c>
      <c r="T972" s="1">
        <v>44399</v>
      </c>
      <c r="U972">
        <v>37501</v>
      </c>
      <c r="V972" t="s">
        <v>61</v>
      </c>
      <c r="W972" t="s">
        <v>1869</v>
      </c>
      <c r="X972" s="1">
        <v>44406</v>
      </c>
      <c r="Y972" t="s">
        <v>100</v>
      </c>
      <c r="Z972">
        <v>421.55</v>
      </c>
      <c r="AA972">
        <v>16</v>
      </c>
      <c r="AB972">
        <v>67.45</v>
      </c>
      <c r="AC972">
        <v>0</v>
      </c>
      <c r="AD972">
        <v>489</v>
      </c>
      <c r="AE972">
        <v>2632.38</v>
      </c>
      <c r="AF972">
        <v>2727</v>
      </c>
      <c r="AG972" t="s">
        <v>1870</v>
      </c>
      <c r="AH972" t="s">
        <v>65</v>
      </c>
      <c r="AI972" t="s">
        <v>65</v>
      </c>
      <c r="AJ972" t="s">
        <v>66</v>
      </c>
      <c r="AK972" t="s">
        <v>66</v>
      </c>
      <c r="AL972" t="s">
        <v>66</v>
      </c>
      <c r="AM972" s="2" t="str">
        <f>HYPERLINK("https://transparencia.cidesi.mx/comprobantes/2021/CQ2100570 /C269346259 489.pdf")</f>
        <v>https://transparencia.cidesi.mx/comprobantes/2021/CQ2100570 /C269346259 489.pdf</v>
      </c>
      <c r="AN972" t="str">
        <f>HYPERLINK("https://transparencia.cidesi.mx/comprobantes/2021/CQ2100570 /C269346259 489.pdf")</f>
        <v>https://transparencia.cidesi.mx/comprobantes/2021/CQ2100570 /C269346259 489.pdf</v>
      </c>
      <c r="AO972" t="str">
        <f>HYPERLINK("https://transparencia.cidesi.mx/comprobantes/2021/CQ2100570 /C269346259 489.xml")</f>
        <v>https://transparencia.cidesi.mx/comprobantes/2021/CQ2100570 /C269346259 489.xml</v>
      </c>
      <c r="AP972" t="s">
        <v>1871</v>
      </c>
      <c r="AQ972" t="s">
        <v>1872</v>
      </c>
      <c r="AR972" t="s">
        <v>1873</v>
      </c>
      <c r="AS972" t="s">
        <v>1873</v>
      </c>
      <c r="AT972" s="1">
        <v>44407</v>
      </c>
      <c r="AU972" t="s">
        <v>73</v>
      </c>
    </row>
    <row r="973" spans="1:47" x14ac:dyDescent="0.3">
      <c r="A973" t="s">
        <v>47</v>
      </c>
      <c r="B973" t="s">
        <v>48</v>
      </c>
      <c r="C973" t="s">
        <v>392</v>
      </c>
      <c r="D973">
        <v>9136</v>
      </c>
      <c r="E973" t="s">
        <v>1866</v>
      </c>
      <c r="F973" t="s">
        <v>352</v>
      </c>
      <c r="G973" t="s">
        <v>912</v>
      </c>
      <c r="H973" t="s">
        <v>1867</v>
      </c>
      <c r="I973" t="s">
        <v>54</v>
      </c>
      <c r="J973" t="s">
        <v>1868</v>
      </c>
      <c r="K973" t="s">
        <v>56</v>
      </c>
      <c r="L973">
        <v>0</v>
      </c>
      <c r="M973" t="s">
        <v>73</v>
      </c>
      <c r="N973">
        <v>0</v>
      </c>
      <c r="O973" t="s">
        <v>58</v>
      </c>
      <c r="P973" t="s">
        <v>59</v>
      </c>
      <c r="Q973" t="s">
        <v>60</v>
      </c>
      <c r="R973" t="s">
        <v>1868</v>
      </c>
      <c r="S973" s="1">
        <v>44397</v>
      </c>
      <c r="T973" s="1">
        <v>44399</v>
      </c>
      <c r="U973">
        <v>37501</v>
      </c>
      <c r="V973" t="s">
        <v>61</v>
      </c>
      <c r="W973" t="s">
        <v>1869</v>
      </c>
      <c r="X973" s="1">
        <v>44406</v>
      </c>
      <c r="Y973" t="s">
        <v>100</v>
      </c>
      <c r="Z973">
        <v>390.04</v>
      </c>
      <c r="AA973">
        <v>16</v>
      </c>
      <c r="AB973">
        <v>62.41</v>
      </c>
      <c r="AC973">
        <v>58.5</v>
      </c>
      <c r="AD973">
        <v>510.95</v>
      </c>
      <c r="AE973">
        <v>2632.38</v>
      </c>
      <c r="AF973">
        <v>2727</v>
      </c>
      <c r="AG973" t="s">
        <v>1870</v>
      </c>
      <c r="AH973" t="s">
        <v>65</v>
      </c>
      <c r="AI973" t="s">
        <v>65</v>
      </c>
      <c r="AJ973" t="s">
        <v>66</v>
      </c>
      <c r="AK973" t="s">
        <v>66</v>
      </c>
      <c r="AL973" t="s">
        <v>66</v>
      </c>
      <c r="AM973" s="2" t="str">
        <f>HYPERLINK("https://transparencia.cidesi.mx/comprobantes/2021/CQ2100570 /C3FHO121005EFA-21-07-2021235853843-234672 510.95.pdf")</f>
        <v>https://transparencia.cidesi.mx/comprobantes/2021/CQ2100570 /C3FHO121005EFA-21-07-2021235853843-234672 510.95.pdf</v>
      </c>
      <c r="AN973" t="str">
        <f>HYPERLINK("https://transparencia.cidesi.mx/comprobantes/2021/CQ2100570 /C3FHO121005EFA-21-07-2021235853843-234672 510.95.pdf")</f>
        <v>https://transparencia.cidesi.mx/comprobantes/2021/CQ2100570 /C3FHO121005EFA-21-07-2021235853843-234672 510.95.pdf</v>
      </c>
      <c r="AO973" t="str">
        <f>HYPERLINK("https://transparencia.cidesi.mx/comprobantes/2021/CQ2100570 /C3FHO121005EFA-21-07-2021235853843-234672 510.95.xml")</f>
        <v>https://transparencia.cidesi.mx/comprobantes/2021/CQ2100570 /C3FHO121005EFA-21-07-2021235853843-234672 510.95.xml</v>
      </c>
      <c r="AP973" t="s">
        <v>1871</v>
      </c>
      <c r="AQ973" t="s">
        <v>1872</v>
      </c>
      <c r="AR973" t="s">
        <v>1873</v>
      </c>
      <c r="AS973" t="s">
        <v>1873</v>
      </c>
      <c r="AT973" s="1">
        <v>44407</v>
      </c>
      <c r="AU973" t="s">
        <v>73</v>
      </c>
    </row>
    <row r="974" spans="1:47" x14ac:dyDescent="0.3">
      <c r="A974" t="s">
        <v>47</v>
      </c>
      <c r="B974" t="s">
        <v>48</v>
      </c>
      <c r="C974" t="s">
        <v>392</v>
      </c>
      <c r="D974">
        <v>9136</v>
      </c>
      <c r="E974" t="s">
        <v>1866</v>
      </c>
      <c r="F974" t="s">
        <v>352</v>
      </c>
      <c r="G974" t="s">
        <v>912</v>
      </c>
      <c r="H974" t="s">
        <v>1867</v>
      </c>
      <c r="I974" t="s">
        <v>54</v>
      </c>
      <c r="J974" t="s">
        <v>1868</v>
      </c>
      <c r="K974" t="s">
        <v>56</v>
      </c>
      <c r="L974">
        <v>0</v>
      </c>
      <c r="M974" t="s">
        <v>73</v>
      </c>
      <c r="N974">
        <v>0</v>
      </c>
      <c r="O974" t="s">
        <v>58</v>
      </c>
      <c r="P974" t="s">
        <v>59</v>
      </c>
      <c r="Q974" t="s">
        <v>60</v>
      </c>
      <c r="R974" t="s">
        <v>1868</v>
      </c>
      <c r="S974" s="1">
        <v>44397</v>
      </c>
      <c r="T974" s="1">
        <v>44399</v>
      </c>
      <c r="U974">
        <v>37501</v>
      </c>
      <c r="V974" t="s">
        <v>104</v>
      </c>
      <c r="W974" t="s">
        <v>1869</v>
      </c>
      <c r="X974" s="1">
        <v>44406</v>
      </c>
      <c r="Y974" t="s">
        <v>100</v>
      </c>
      <c r="Z974">
        <v>519.66</v>
      </c>
      <c r="AA974">
        <v>16</v>
      </c>
      <c r="AB974">
        <v>80.33</v>
      </c>
      <c r="AC974">
        <v>0</v>
      </c>
      <c r="AD974">
        <v>599.99</v>
      </c>
      <c r="AE974">
        <v>2632.38</v>
      </c>
      <c r="AF974">
        <v>2727</v>
      </c>
      <c r="AG974" t="s">
        <v>1874</v>
      </c>
      <c r="AH974" t="s">
        <v>65</v>
      </c>
      <c r="AI974" t="s">
        <v>65</v>
      </c>
      <c r="AJ974" t="s">
        <v>66</v>
      </c>
      <c r="AK974" t="s">
        <v>66</v>
      </c>
      <c r="AL974" t="s">
        <v>66</v>
      </c>
      <c r="AM974" s="2" t="str">
        <f>HYPERLINK("https://transparencia.cidesi.mx/comprobantes/2021/CQ2100570 /C5PHT0103074L9_Factura__11497_7090AD65-19D0-4FF2-A9D1-628A4AF548C3 600.pdf")</f>
        <v>https://transparencia.cidesi.mx/comprobantes/2021/CQ2100570 /C5PHT0103074L9_Factura__11497_7090AD65-19D0-4FF2-A9D1-628A4AF548C3 600.pdf</v>
      </c>
      <c r="AN974" t="str">
        <f>HYPERLINK("https://transparencia.cidesi.mx/comprobantes/2021/CQ2100570 /C5PHT0103074L9_Factura__11497_7090AD65-19D0-4FF2-A9D1-628A4AF548C3 600.pdf")</f>
        <v>https://transparencia.cidesi.mx/comprobantes/2021/CQ2100570 /C5PHT0103074L9_Factura__11497_7090AD65-19D0-4FF2-A9D1-628A4AF548C3 600.pdf</v>
      </c>
      <c r="AO974" t="str">
        <f>HYPERLINK("https://transparencia.cidesi.mx/comprobantes/2021/CQ2100570 /C5PHT0103074L9_Factura__11497_7090AD65-19D0-4FF2-A9D1-628A4AF548C3 600.xml")</f>
        <v>https://transparencia.cidesi.mx/comprobantes/2021/CQ2100570 /C5PHT0103074L9_Factura__11497_7090AD65-19D0-4FF2-A9D1-628A4AF548C3 600.xml</v>
      </c>
      <c r="AP974" t="s">
        <v>1871</v>
      </c>
      <c r="AQ974" t="s">
        <v>1872</v>
      </c>
      <c r="AR974" t="s">
        <v>1873</v>
      </c>
      <c r="AS974" t="s">
        <v>1873</v>
      </c>
      <c r="AT974" s="1">
        <v>44407</v>
      </c>
      <c r="AU974" t="s">
        <v>73</v>
      </c>
    </row>
    <row r="975" spans="1:47" x14ac:dyDescent="0.3">
      <c r="A975" t="s">
        <v>47</v>
      </c>
      <c r="B975" t="s">
        <v>48</v>
      </c>
      <c r="C975" t="s">
        <v>392</v>
      </c>
      <c r="D975">
        <v>9136</v>
      </c>
      <c r="E975" t="s">
        <v>1866</v>
      </c>
      <c r="F975" t="s">
        <v>352</v>
      </c>
      <c r="G975" t="s">
        <v>912</v>
      </c>
      <c r="H975" t="s">
        <v>1867</v>
      </c>
      <c r="I975" t="s">
        <v>54</v>
      </c>
      <c r="J975" t="s">
        <v>1868</v>
      </c>
      <c r="K975" t="s">
        <v>56</v>
      </c>
      <c r="L975">
        <v>0</v>
      </c>
      <c r="M975" t="s">
        <v>73</v>
      </c>
      <c r="N975">
        <v>0</v>
      </c>
      <c r="O975" t="s">
        <v>58</v>
      </c>
      <c r="P975" t="s">
        <v>59</v>
      </c>
      <c r="Q975" t="s">
        <v>60</v>
      </c>
      <c r="R975" t="s">
        <v>1868</v>
      </c>
      <c r="S975" s="1">
        <v>44397</v>
      </c>
      <c r="T975" s="1">
        <v>44399</v>
      </c>
      <c r="U975">
        <v>37501</v>
      </c>
      <c r="V975" t="s">
        <v>61</v>
      </c>
      <c r="W975" t="s">
        <v>1869</v>
      </c>
      <c r="X975" s="1">
        <v>44406</v>
      </c>
      <c r="Y975" t="s">
        <v>100</v>
      </c>
      <c r="Z975">
        <v>139.22</v>
      </c>
      <c r="AA975">
        <v>16</v>
      </c>
      <c r="AB975">
        <v>22.28</v>
      </c>
      <c r="AC975">
        <v>0</v>
      </c>
      <c r="AD975">
        <v>161.5</v>
      </c>
      <c r="AE975">
        <v>2632.38</v>
      </c>
      <c r="AF975">
        <v>2727</v>
      </c>
      <c r="AG975" t="s">
        <v>1870</v>
      </c>
      <c r="AH975" t="s">
        <v>65</v>
      </c>
      <c r="AI975" t="s">
        <v>65</v>
      </c>
      <c r="AJ975" t="s">
        <v>66</v>
      </c>
      <c r="AK975" t="s">
        <v>66</v>
      </c>
      <c r="AL975" t="s">
        <v>66</v>
      </c>
      <c r="AM975" s="2" t="str">
        <f>HYPERLINK("https://transparencia.cidesi.mx/comprobantes/2021/CQ2100570 /C6GGG030729MR0FAA15563.pdf")</f>
        <v>https://transparencia.cidesi.mx/comprobantes/2021/CQ2100570 /C6GGG030729MR0FAA15563.pdf</v>
      </c>
      <c r="AN975" t="str">
        <f>HYPERLINK("https://transparencia.cidesi.mx/comprobantes/2021/CQ2100570 /C6GGG030729MR0FAA15563.pdf")</f>
        <v>https://transparencia.cidesi.mx/comprobantes/2021/CQ2100570 /C6GGG030729MR0FAA15563.pdf</v>
      </c>
      <c r="AO975" t="str">
        <f>HYPERLINK("https://transparencia.cidesi.mx/comprobantes/2021/CQ2100570 /C6GGG030729MR0FAA15563.xml")</f>
        <v>https://transparencia.cidesi.mx/comprobantes/2021/CQ2100570 /C6GGG030729MR0FAA15563.xml</v>
      </c>
      <c r="AP975" t="s">
        <v>1871</v>
      </c>
      <c r="AQ975" t="s">
        <v>1872</v>
      </c>
      <c r="AR975" t="s">
        <v>1873</v>
      </c>
      <c r="AS975" t="s">
        <v>1873</v>
      </c>
      <c r="AT975" s="1">
        <v>44407</v>
      </c>
      <c r="AU975" t="s">
        <v>73</v>
      </c>
    </row>
    <row r="976" spans="1:47" x14ac:dyDescent="0.3">
      <c r="A976" t="s">
        <v>47</v>
      </c>
      <c r="B976" t="s">
        <v>48</v>
      </c>
      <c r="C976" t="s">
        <v>392</v>
      </c>
      <c r="D976">
        <v>9136</v>
      </c>
      <c r="E976" t="s">
        <v>1866</v>
      </c>
      <c r="F976" t="s">
        <v>352</v>
      </c>
      <c r="G976" t="s">
        <v>912</v>
      </c>
      <c r="H976" t="s">
        <v>1867</v>
      </c>
      <c r="I976" t="s">
        <v>54</v>
      </c>
      <c r="J976" t="s">
        <v>1868</v>
      </c>
      <c r="K976" t="s">
        <v>56</v>
      </c>
      <c r="L976">
        <v>0</v>
      </c>
      <c r="M976" t="s">
        <v>73</v>
      </c>
      <c r="N976">
        <v>0</v>
      </c>
      <c r="O976" t="s">
        <v>58</v>
      </c>
      <c r="P976" t="s">
        <v>59</v>
      </c>
      <c r="Q976" t="s">
        <v>60</v>
      </c>
      <c r="R976" t="s">
        <v>1868</v>
      </c>
      <c r="S976" s="1">
        <v>44397</v>
      </c>
      <c r="T976" s="1">
        <v>44399</v>
      </c>
      <c r="U976">
        <v>37501</v>
      </c>
      <c r="V976" t="s">
        <v>104</v>
      </c>
      <c r="W976" t="s">
        <v>1869</v>
      </c>
      <c r="X976" s="1">
        <v>44406</v>
      </c>
      <c r="Y976" t="s">
        <v>100</v>
      </c>
      <c r="Z976">
        <v>509.74</v>
      </c>
      <c r="AA976">
        <v>16</v>
      </c>
      <c r="AB976">
        <v>78.8</v>
      </c>
      <c r="AC976">
        <v>0</v>
      </c>
      <c r="AD976">
        <v>588.54</v>
      </c>
      <c r="AE976">
        <v>2632.38</v>
      </c>
      <c r="AF976">
        <v>2727</v>
      </c>
      <c r="AG976" t="s">
        <v>1874</v>
      </c>
      <c r="AH976" t="s">
        <v>65</v>
      </c>
      <c r="AI976" t="s">
        <v>65</v>
      </c>
      <c r="AJ976" t="s">
        <v>66</v>
      </c>
      <c r="AK976" t="s">
        <v>66</v>
      </c>
      <c r="AL976" t="s">
        <v>66</v>
      </c>
      <c r="AM976" s="2" t="str">
        <f>HYPERLINK("https://transparencia.cidesi.mx/comprobantes/2021/CQ2100570 /C7FFX121005C6A-22-07-2021085132637-F1XSUR155582 588.pdf")</f>
        <v>https://transparencia.cidesi.mx/comprobantes/2021/CQ2100570 /C7FFX121005C6A-22-07-2021085132637-F1XSUR155582 588.pdf</v>
      </c>
      <c r="AN976" t="str">
        <f>HYPERLINK("https://transparencia.cidesi.mx/comprobantes/2021/CQ2100570 /C7FFX121005C6A-22-07-2021085132637-F1XSUR155582 588.pdf")</f>
        <v>https://transparencia.cidesi.mx/comprobantes/2021/CQ2100570 /C7FFX121005C6A-22-07-2021085132637-F1XSUR155582 588.pdf</v>
      </c>
      <c r="AO976" t="str">
        <f>HYPERLINK("https://transparencia.cidesi.mx/comprobantes/2021/CQ2100570 /C7FFX121005C6A-22-07-2021085132637-F1XSUR155582 588.xml")</f>
        <v>https://transparencia.cidesi.mx/comprobantes/2021/CQ2100570 /C7FFX121005C6A-22-07-2021085132637-F1XSUR155582 588.xml</v>
      </c>
      <c r="AP976" t="s">
        <v>1871</v>
      </c>
      <c r="AQ976" t="s">
        <v>1872</v>
      </c>
      <c r="AR976" t="s">
        <v>1873</v>
      </c>
      <c r="AS976" t="s">
        <v>1873</v>
      </c>
      <c r="AT976" s="1">
        <v>44407</v>
      </c>
      <c r="AU976" t="s">
        <v>73</v>
      </c>
    </row>
    <row r="977" spans="1:47" x14ac:dyDescent="0.3">
      <c r="A977" t="s">
        <v>47</v>
      </c>
      <c r="B977" t="s">
        <v>48</v>
      </c>
      <c r="C977" t="s">
        <v>392</v>
      </c>
      <c r="D977">
        <v>9136</v>
      </c>
      <c r="E977" t="s">
        <v>1866</v>
      </c>
      <c r="F977" t="s">
        <v>352</v>
      </c>
      <c r="G977" t="s">
        <v>912</v>
      </c>
      <c r="H977" t="s">
        <v>1875</v>
      </c>
      <c r="I977" t="s">
        <v>54</v>
      </c>
      <c r="J977" t="s">
        <v>1607</v>
      </c>
      <c r="K977" t="s">
        <v>56</v>
      </c>
      <c r="L977">
        <v>0</v>
      </c>
      <c r="M977" t="s">
        <v>73</v>
      </c>
      <c r="N977">
        <v>0</v>
      </c>
      <c r="O977" t="s">
        <v>58</v>
      </c>
      <c r="P977" t="s">
        <v>59</v>
      </c>
      <c r="Q977" t="s">
        <v>60</v>
      </c>
      <c r="R977" t="s">
        <v>1607</v>
      </c>
      <c r="S977" s="1">
        <v>44399</v>
      </c>
      <c r="T977" s="1">
        <v>44400</v>
      </c>
      <c r="U977">
        <v>37501</v>
      </c>
      <c r="V977" t="s">
        <v>104</v>
      </c>
      <c r="W977" t="s">
        <v>1876</v>
      </c>
      <c r="X977" s="1">
        <v>44406</v>
      </c>
      <c r="Y977" t="s">
        <v>63</v>
      </c>
      <c r="Z977">
        <v>459.04</v>
      </c>
      <c r="AA977">
        <v>16</v>
      </c>
      <c r="AB977">
        <v>70.959999999999994</v>
      </c>
      <c r="AC977">
        <v>0</v>
      </c>
      <c r="AD977">
        <v>530</v>
      </c>
      <c r="AE977">
        <v>1520.5</v>
      </c>
      <c r="AF977">
        <v>1636</v>
      </c>
      <c r="AG977" t="s">
        <v>1874</v>
      </c>
      <c r="AH977" t="s">
        <v>65</v>
      </c>
      <c r="AI977" t="s">
        <v>65</v>
      </c>
      <c r="AJ977" t="s">
        <v>66</v>
      </c>
      <c r="AK977" t="s">
        <v>66</v>
      </c>
      <c r="AL977" t="s">
        <v>66</v>
      </c>
      <c r="AM977" s="2" t="str">
        <f>HYPERLINK("https://transparencia.cidesi.mx/comprobantes/2021/CQ2100574 /C1FFX121005C6A-23-07-2021033657223-F1XSUR155605.pdf")</f>
        <v>https://transparencia.cidesi.mx/comprobantes/2021/CQ2100574 /C1FFX121005C6A-23-07-2021033657223-F1XSUR155605.pdf</v>
      </c>
      <c r="AN977" t="str">
        <f>HYPERLINK("https://transparencia.cidesi.mx/comprobantes/2021/CQ2100574 /C1FFX121005C6A-23-07-2021033657223-F1XSUR155605.pdf")</f>
        <v>https://transparencia.cidesi.mx/comprobantes/2021/CQ2100574 /C1FFX121005C6A-23-07-2021033657223-F1XSUR155605.pdf</v>
      </c>
      <c r="AO977" t="str">
        <f>HYPERLINK("https://transparencia.cidesi.mx/comprobantes/2021/CQ2100574 /C1FFX121005C6A-23-07-2021033738831-F1XSUR155606 (3).xml")</f>
        <v>https://transparencia.cidesi.mx/comprobantes/2021/CQ2100574 /C1FFX121005C6A-23-07-2021033738831-F1XSUR155606 (3).xml</v>
      </c>
      <c r="AP977" t="s">
        <v>1607</v>
      </c>
      <c r="AQ977" t="s">
        <v>1607</v>
      </c>
      <c r="AR977" t="s">
        <v>1607</v>
      </c>
      <c r="AS977" t="s">
        <v>1607</v>
      </c>
      <c r="AT977" s="1">
        <v>44410</v>
      </c>
      <c r="AU977" s="1">
        <v>44424</v>
      </c>
    </row>
    <row r="978" spans="1:47" x14ac:dyDescent="0.3">
      <c r="A978" t="s">
        <v>47</v>
      </c>
      <c r="B978" t="s">
        <v>48</v>
      </c>
      <c r="C978" t="s">
        <v>392</v>
      </c>
      <c r="D978">
        <v>9136</v>
      </c>
      <c r="E978" t="s">
        <v>1866</v>
      </c>
      <c r="F978" t="s">
        <v>352</v>
      </c>
      <c r="G978" t="s">
        <v>912</v>
      </c>
      <c r="H978" t="s">
        <v>1875</v>
      </c>
      <c r="I978" t="s">
        <v>54</v>
      </c>
      <c r="J978" t="s">
        <v>1607</v>
      </c>
      <c r="K978" t="s">
        <v>56</v>
      </c>
      <c r="L978">
        <v>0</v>
      </c>
      <c r="M978" t="s">
        <v>73</v>
      </c>
      <c r="N978">
        <v>0</v>
      </c>
      <c r="O978" t="s">
        <v>58</v>
      </c>
      <c r="P978" t="s">
        <v>59</v>
      </c>
      <c r="Q978" t="s">
        <v>60</v>
      </c>
      <c r="R978" t="s">
        <v>1607</v>
      </c>
      <c r="S978" s="1">
        <v>44399</v>
      </c>
      <c r="T978" s="1">
        <v>44400</v>
      </c>
      <c r="U978">
        <v>37501</v>
      </c>
      <c r="V978" t="s">
        <v>1009</v>
      </c>
      <c r="W978" t="s">
        <v>1876</v>
      </c>
      <c r="X978" s="1">
        <v>44406</v>
      </c>
      <c r="Y978" t="s">
        <v>63</v>
      </c>
      <c r="Z978">
        <v>72.17</v>
      </c>
      <c r="AA978">
        <v>16</v>
      </c>
      <c r="AB978">
        <v>10.83</v>
      </c>
      <c r="AC978">
        <v>0</v>
      </c>
      <c r="AD978">
        <v>83</v>
      </c>
      <c r="AE978">
        <v>1520.5</v>
      </c>
      <c r="AF978">
        <v>1636</v>
      </c>
      <c r="AG978" t="s">
        <v>1877</v>
      </c>
      <c r="AH978" t="s">
        <v>66</v>
      </c>
      <c r="AI978" t="s">
        <v>65</v>
      </c>
      <c r="AJ978" t="s">
        <v>66</v>
      </c>
      <c r="AK978" t="s">
        <v>66</v>
      </c>
      <c r="AL978" t="s">
        <v>66</v>
      </c>
      <c r="AM978" s="2" t="str">
        <f>HYPERLINK("https://transparencia.cidesi.mx/comprobantes/2021/CQ2100574 /C2FHO121005EFA-21-07-2021235853843-234672.pdf")</f>
        <v>https://transparencia.cidesi.mx/comprobantes/2021/CQ2100574 /C2FHO121005EFA-21-07-2021235853843-234672.pdf</v>
      </c>
      <c r="AN978" t="str">
        <f>HYPERLINK("https://transparencia.cidesi.mx/comprobantes/2021/CQ2100574 /C2FHO121005EFA-21-07-2021235853843-234672.pdf")</f>
        <v>https://transparencia.cidesi.mx/comprobantes/2021/CQ2100574 /C2FHO121005EFA-21-07-2021235853843-234672.pdf</v>
      </c>
      <c r="AO978" t="str">
        <f>HYPERLINK("https://transparencia.cidesi.mx/comprobantes/2021/CQ2100574 /C2FHO121005EFA-23-07-2021000150975-S1XSUR155599 (2) 83.xml")</f>
        <v>https://transparencia.cidesi.mx/comprobantes/2021/CQ2100574 /C2FHO121005EFA-23-07-2021000150975-S1XSUR155599 (2) 83.xml</v>
      </c>
      <c r="AP978" t="s">
        <v>1607</v>
      </c>
      <c r="AQ978" t="s">
        <v>1607</v>
      </c>
      <c r="AR978" t="s">
        <v>1607</v>
      </c>
      <c r="AS978" t="s">
        <v>1607</v>
      </c>
      <c r="AT978" s="1">
        <v>44410</v>
      </c>
      <c r="AU978" s="1">
        <v>44424</v>
      </c>
    </row>
    <row r="979" spans="1:47" x14ac:dyDescent="0.3">
      <c r="A979" t="s">
        <v>47</v>
      </c>
      <c r="B979" t="s">
        <v>48</v>
      </c>
      <c r="C979" t="s">
        <v>392</v>
      </c>
      <c r="D979">
        <v>9136</v>
      </c>
      <c r="E979" t="s">
        <v>1866</v>
      </c>
      <c r="F979" t="s">
        <v>352</v>
      </c>
      <c r="G979" t="s">
        <v>912</v>
      </c>
      <c r="H979" t="s">
        <v>1875</v>
      </c>
      <c r="I979" t="s">
        <v>54</v>
      </c>
      <c r="J979" t="s">
        <v>1607</v>
      </c>
      <c r="K979" t="s">
        <v>56</v>
      </c>
      <c r="L979">
        <v>0</v>
      </c>
      <c r="M979" t="s">
        <v>73</v>
      </c>
      <c r="N979">
        <v>0</v>
      </c>
      <c r="O979" t="s">
        <v>58</v>
      </c>
      <c r="P979" t="s">
        <v>59</v>
      </c>
      <c r="Q979" t="s">
        <v>60</v>
      </c>
      <c r="R979" t="s">
        <v>1607</v>
      </c>
      <c r="S979" s="1">
        <v>44399</v>
      </c>
      <c r="T979" s="1">
        <v>44400</v>
      </c>
      <c r="U979">
        <v>37501</v>
      </c>
      <c r="V979" t="s">
        <v>61</v>
      </c>
      <c r="W979" t="s">
        <v>1876</v>
      </c>
      <c r="X979" s="1">
        <v>44406</v>
      </c>
      <c r="Y979" t="s">
        <v>63</v>
      </c>
      <c r="Z979">
        <v>429.31</v>
      </c>
      <c r="AA979">
        <v>16</v>
      </c>
      <c r="AB979">
        <v>68.69</v>
      </c>
      <c r="AC979">
        <v>0</v>
      </c>
      <c r="AD979">
        <v>498</v>
      </c>
      <c r="AE979">
        <v>1520.5</v>
      </c>
      <c r="AF979">
        <v>1636</v>
      </c>
      <c r="AG979" t="s">
        <v>1870</v>
      </c>
      <c r="AH979" t="s">
        <v>65</v>
      </c>
      <c r="AI979" t="s">
        <v>65</v>
      </c>
      <c r="AJ979" t="s">
        <v>66</v>
      </c>
      <c r="AK979" t="s">
        <v>66</v>
      </c>
      <c r="AL979" t="s">
        <v>66</v>
      </c>
      <c r="AM979" s="2" t="str">
        <f>HYPERLINK("https://transparencia.cidesi.mx/comprobantes/2021/CQ2100574 /C3SRO960830D42_PER1380 498 23julio.pdf")</f>
        <v>https://transparencia.cidesi.mx/comprobantes/2021/CQ2100574 /C3SRO960830D42_PER1380 498 23julio.pdf</v>
      </c>
      <c r="AN979" t="str">
        <f>HYPERLINK("https://transparencia.cidesi.mx/comprobantes/2021/CQ2100574 /C3SRO960830D42_PER1380 498 23julio.pdf")</f>
        <v>https://transparencia.cidesi.mx/comprobantes/2021/CQ2100574 /C3SRO960830D42_PER1380 498 23julio.pdf</v>
      </c>
      <c r="AO979" t="str">
        <f>HYPERLINK("https://transparencia.cidesi.mx/comprobantes/2021/CQ2100574 /C3SRO960830D42_PER1380 498 23 julio.xml")</f>
        <v>https://transparencia.cidesi.mx/comprobantes/2021/CQ2100574 /C3SRO960830D42_PER1380 498 23 julio.xml</v>
      </c>
      <c r="AP979" t="s">
        <v>1607</v>
      </c>
      <c r="AQ979" t="s">
        <v>1607</v>
      </c>
      <c r="AR979" t="s">
        <v>1607</v>
      </c>
      <c r="AS979" t="s">
        <v>1607</v>
      </c>
      <c r="AT979" s="1">
        <v>44410</v>
      </c>
      <c r="AU979" s="1">
        <v>44424</v>
      </c>
    </row>
    <row r="980" spans="1:47" x14ac:dyDescent="0.3">
      <c r="A980" t="s">
        <v>47</v>
      </c>
      <c r="B980" t="s">
        <v>48</v>
      </c>
      <c r="C980" t="s">
        <v>392</v>
      </c>
      <c r="D980">
        <v>9136</v>
      </c>
      <c r="E980" t="s">
        <v>1866</v>
      </c>
      <c r="F980" t="s">
        <v>352</v>
      </c>
      <c r="G980" t="s">
        <v>912</v>
      </c>
      <c r="H980" t="s">
        <v>1875</v>
      </c>
      <c r="I980" t="s">
        <v>54</v>
      </c>
      <c r="J980" t="s">
        <v>1607</v>
      </c>
      <c r="K980" t="s">
        <v>56</v>
      </c>
      <c r="L980">
        <v>0</v>
      </c>
      <c r="M980" t="s">
        <v>73</v>
      </c>
      <c r="N980">
        <v>0</v>
      </c>
      <c r="O980" t="s">
        <v>58</v>
      </c>
      <c r="P980" t="s">
        <v>59</v>
      </c>
      <c r="Q980" t="s">
        <v>60</v>
      </c>
      <c r="R980" t="s">
        <v>1607</v>
      </c>
      <c r="S980" s="1">
        <v>44399</v>
      </c>
      <c r="T980" s="1">
        <v>44400</v>
      </c>
      <c r="U980">
        <v>37501</v>
      </c>
      <c r="V980" t="s">
        <v>61</v>
      </c>
      <c r="W980" t="s">
        <v>1876</v>
      </c>
      <c r="X980" s="1">
        <v>44406</v>
      </c>
      <c r="Y980" t="s">
        <v>63</v>
      </c>
      <c r="Z980">
        <v>215.51</v>
      </c>
      <c r="AA980">
        <v>16</v>
      </c>
      <c r="AB980">
        <v>14.49</v>
      </c>
      <c r="AC980">
        <v>0</v>
      </c>
      <c r="AD980">
        <v>230</v>
      </c>
      <c r="AE980">
        <v>1520.5</v>
      </c>
      <c r="AF980">
        <v>1636</v>
      </c>
      <c r="AG980" t="s">
        <v>1870</v>
      </c>
      <c r="AH980" t="s">
        <v>65</v>
      </c>
      <c r="AI980" t="s">
        <v>65</v>
      </c>
      <c r="AJ980" t="s">
        <v>66</v>
      </c>
      <c r="AK980" t="s">
        <v>66</v>
      </c>
      <c r="AL980" t="s">
        <v>66</v>
      </c>
      <c r="AM980" s="2" t="str">
        <f>HYPERLINK("https://transparencia.cidesi.mx/comprobantes/2021/CQ2100574 /C4FACTURA_1627591761923_339022203.pdf")</f>
        <v>https://transparencia.cidesi.mx/comprobantes/2021/CQ2100574 /C4FACTURA_1627591761923_339022203.pdf</v>
      </c>
      <c r="AN980" t="str">
        <f>HYPERLINK("https://transparencia.cidesi.mx/comprobantes/2021/CQ2100574 /C4FACTURA_1627591761923_339022203.pdf")</f>
        <v>https://transparencia.cidesi.mx/comprobantes/2021/CQ2100574 /C4FACTURA_1627591761923_339022203.pdf</v>
      </c>
      <c r="AO980" t="str">
        <f>HYPERLINK("https://transparencia.cidesi.mx/comprobantes/2021/CQ2100574 /C4FACTURA_1627591764504_339022203 (1).xml")</f>
        <v>https://transparencia.cidesi.mx/comprobantes/2021/CQ2100574 /C4FACTURA_1627591764504_339022203 (1).xml</v>
      </c>
      <c r="AP980" t="s">
        <v>1607</v>
      </c>
      <c r="AQ980" t="s">
        <v>1607</v>
      </c>
      <c r="AR980" t="s">
        <v>1607</v>
      </c>
      <c r="AS980" t="s">
        <v>1607</v>
      </c>
      <c r="AT980" s="1">
        <v>44410</v>
      </c>
      <c r="AU980" s="1">
        <v>44424</v>
      </c>
    </row>
    <row r="981" spans="1:47" x14ac:dyDescent="0.3">
      <c r="A981" t="s">
        <v>47</v>
      </c>
      <c r="B981" t="s">
        <v>48</v>
      </c>
      <c r="C981" t="s">
        <v>392</v>
      </c>
      <c r="D981">
        <v>9136</v>
      </c>
      <c r="E981" t="s">
        <v>1866</v>
      </c>
      <c r="F981" t="s">
        <v>352</v>
      </c>
      <c r="G981" t="s">
        <v>912</v>
      </c>
      <c r="H981" t="s">
        <v>1875</v>
      </c>
      <c r="I981" t="s">
        <v>54</v>
      </c>
      <c r="J981" t="s">
        <v>1607</v>
      </c>
      <c r="K981" t="s">
        <v>56</v>
      </c>
      <c r="L981">
        <v>0</v>
      </c>
      <c r="M981" t="s">
        <v>73</v>
      </c>
      <c r="N981">
        <v>0</v>
      </c>
      <c r="O981" t="s">
        <v>58</v>
      </c>
      <c r="P981" t="s">
        <v>59</v>
      </c>
      <c r="Q981" t="s">
        <v>60</v>
      </c>
      <c r="R981" t="s">
        <v>1607</v>
      </c>
      <c r="S981" s="1">
        <v>44399</v>
      </c>
      <c r="T981" s="1">
        <v>44400</v>
      </c>
      <c r="U981">
        <v>37501</v>
      </c>
      <c r="V981" t="s">
        <v>61</v>
      </c>
      <c r="W981" t="s">
        <v>1876</v>
      </c>
      <c r="X981" s="1">
        <v>44406</v>
      </c>
      <c r="Y981" t="s">
        <v>63</v>
      </c>
      <c r="Z981">
        <v>174.11</v>
      </c>
      <c r="AA981">
        <v>16</v>
      </c>
      <c r="AB981">
        <v>5.39</v>
      </c>
      <c r="AC981">
        <v>0</v>
      </c>
      <c r="AD981">
        <v>179.5</v>
      </c>
      <c r="AE981">
        <v>1520.5</v>
      </c>
      <c r="AF981">
        <v>1636</v>
      </c>
      <c r="AG981" t="s">
        <v>1870</v>
      </c>
      <c r="AH981" t="s">
        <v>65</v>
      </c>
      <c r="AI981" t="s">
        <v>65</v>
      </c>
      <c r="AJ981" t="s">
        <v>66</v>
      </c>
      <c r="AK981" t="s">
        <v>66</v>
      </c>
      <c r="AL981" t="s">
        <v>66</v>
      </c>
      <c r="AM981" s="2" t="str">
        <f>HYPERLINK("https://transparencia.cidesi.mx/comprobantes/2021/CQ2100574 /C5FACTURA_1627601923848_339064183 179.pdf")</f>
        <v>https://transparencia.cidesi.mx/comprobantes/2021/CQ2100574 /C5FACTURA_1627601923848_339064183 179.pdf</v>
      </c>
      <c r="AN981" t="str">
        <f>HYPERLINK("https://transparencia.cidesi.mx/comprobantes/2021/CQ2100574 /C5FACTURA_1627601923848_339064183 179.pdf")</f>
        <v>https://transparencia.cidesi.mx/comprobantes/2021/CQ2100574 /C5FACTURA_1627601923848_339064183 179.pdf</v>
      </c>
      <c r="AO981" t="str">
        <f>HYPERLINK("https://transparencia.cidesi.mx/comprobantes/2021/CQ2100574 /C5FACTURA_1627601926388_339064183 179.xml")</f>
        <v>https://transparencia.cidesi.mx/comprobantes/2021/CQ2100574 /C5FACTURA_1627601926388_339064183 179.xml</v>
      </c>
      <c r="AP981" t="s">
        <v>1607</v>
      </c>
      <c r="AQ981" t="s">
        <v>1607</v>
      </c>
      <c r="AR981" t="s">
        <v>1607</v>
      </c>
      <c r="AS981" t="s">
        <v>1607</v>
      </c>
      <c r="AT981" s="1">
        <v>44410</v>
      </c>
      <c r="AU981" s="1">
        <v>44424</v>
      </c>
    </row>
    <row r="982" spans="1:47" x14ac:dyDescent="0.3">
      <c r="A982" t="s">
        <v>47</v>
      </c>
      <c r="B982" t="s">
        <v>48</v>
      </c>
      <c r="C982" t="s">
        <v>392</v>
      </c>
      <c r="D982">
        <v>9136</v>
      </c>
      <c r="E982" t="s">
        <v>1866</v>
      </c>
      <c r="F982" t="s">
        <v>352</v>
      </c>
      <c r="G982" t="s">
        <v>912</v>
      </c>
      <c r="H982" t="s">
        <v>1878</v>
      </c>
      <c r="I982" t="s">
        <v>54</v>
      </c>
      <c r="J982" t="s">
        <v>1879</v>
      </c>
      <c r="K982" t="s">
        <v>56</v>
      </c>
      <c r="L982">
        <v>0</v>
      </c>
      <c r="M982" t="s">
        <v>73</v>
      </c>
      <c r="N982">
        <v>0</v>
      </c>
      <c r="O982" t="s">
        <v>58</v>
      </c>
      <c r="P982" t="s">
        <v>59</v>
      </c>
      <c r="Q982" t="s">
        <v>408</v>
      </c>
      <c r="R982" t="s">
        <v>1879</v>
      </c>
      <c r="S982" s="1">
        <v>44402</v>
      </c>
      <c r="T982" s="1">
        <v>44408</v>
      </c>
      <c r="U982">
        <v>37501</v>
      </c>
      <c r="V982" t="s">
        <v>61</v>
      </c>
      <c r="W982" t="s">
        <v>1880</v>
      </c>
      <c r="X982" s="1">
        <v>44417</v>
      </c>
      <c r="Y982" t="s">
        <v>100</v>
      </c>
      <c r="Z982">
        <v>481.03</v>
      </c>
      <c r="AA982">
        <v>16</v>
      </c>
      <c r="AB982">
        <v>76.97</v>
      </c>
      <c r="AC982">
        <v>0</v>
      </c>
      <c r="AD982">
        <v>558</v>
      </c>
      <c r="AE982">
        <v>8311.16</v>
      </c>
      <c r="AF982">
        <v>7091</v>
      </c>
      <c r="AG982" t="s">
        <v>1870</v>
      </c>
      <c r="AH982" t="s">
        <v>65</v>
      </c>
      <c r="AI982" t="s">
        <v>65</v>
      </c>
      <c r="AJ982" t="s">
        <v>66</v>
      </c>
      <c r="AK982" t="s">
        <v>66</v>
      </c>
      <c r="AL982" t="s">
        <v>66</v>
      </c>
      <c r="AM982" s="2" t="str">
        <f>HYPERLINK("https://transparencia.cidesi.mx/comprobantes/2021/CQ2100624 /C1FolioFiscal8bda2d3ad1224a20baf4fbc9079e2b52.pdf")</f>
        <v>https://transparencia.cidesi.mx/comprobantes/2021/CQ2100624 /C1FolioFiscal8bda2d3ad1224a20baf4fbc9079e2b52.pdf</v>
      </c>
      <c r="AN982" t="str">
        <f>HYPERLINK("https://transparencia.cidesi.mx/comprobantes/2021/CQ2100624 /C1FolioFiscal8bda2d3ad1224a20baf4fbc9079e2b52.pdf")</f>
        <v>https://transparencia.cidesi.mx/comprobantes/2021/CQ2100624 /C1FolioFiscal8bda2d3ad1224a20baf4fbc9079e2b52.pdf</v>
      </c>
      <c r="AO982" t="str">
        <f>HYPERLINK("https://transparencia.cidesi.mx/comprobantes/2021/CQ2100624 /C1FolioFiscal_8bda2d3a-d122-4a20-baf4-fbc9079e2b52.xml")</f>
        <v>https://transparencia.cidesi.mx/comprobantes/2021/CQ2100624 /C1FolioFiscal_8bda2d3a-d122-4a20-baf4-fbc9079e2b52.xml</v>
      </c>
      <c r="AP982" t="s">
        <v>1881</v>
      </c>
      <c r="AQ982" t="s">
        <v>1881</v>
      </c>
      <c r="AR982" t="s">
        <v>1881</v>
      </c>
      <c r="AS982" t="s">
        <v>1881</v>
      </c>
      <c r="AT982" s="1">
        <v>44417</v>
      </c>
      <c r="AU982" t="s">
        <v>73</v>
      </c>
    </row>
    <row r="983" spans="1:47" x14ac:dyDescent="0.3">
      <c r="A983" t="s">
        <v>47</v>
      </c>
      <c r="B983" t="s">
        <v>48</v>
      </c>
      <c r="C983" t="s">
        <v>392</v>
      </c>
      <c r="D983">
        <v>9136</v>
      </c>
      <c r="E983" t="s">
        <v>1866</v>
      </c>
      <c r="F983" t="s">
        <v>352</v>
      </c>
      <c r="G983" t="s">
        <v>912</v>
      </c>
      <c r="H983" t="s">
        <v>1878</v>
      </c>
      <c r="I983" t="s">
        <v>54</v>
      </c>
      <c r="J983" t="s">
        <v>1879</v>
      </c>
      <c r="K983" t="s">
        <v>56</v>
      </c>
      <c r="L983">
        <v>0</v>
      </c>
      <c r="M983" t="s">
        <v>73</v>
      </c>
      <c r="N983">
        <v>0</v>
      </c>
      <c r="O983" t="s">
        <v>58</v>
      </c>
      <c r="P983" t="s">
        <v>59</v>
      </c>
      <c r="Q983" t="s">
        <v>408</v>
      </c>
      <c r="R983" t="s">
        <v>1879</v>
      </c>
      <c r="S983" s="1">
        <v>44402</v>
      </c>
      <c r="T983" s="1">
        <v>44408</v>
      </c>
      <c r="U983">
        <v>37501</v>
      </c>
      <c r="V983" t="s">
        <v>61</v>
      </c>
      <c r="W983" t="s">
        <v>1880</v>
      </c>
      <c r="X983" s="1">
        <v>44417</v>
      </c>
      <c r="Y983" t="s">
        <v>100</v>
      </c>
      <c r="Z983">
        <v>491.38</v>
      </c>
      <c r="AA983">
        <v>16</v>
      </c>
      <c r="AB983">
        <v>78.62</v>
      </c>
      <c r="AC983">
        <v>0</v>
      </c>
      <c r="AD983">
        <v>570</v>
      </c>
      <c r="AE983">
        <v>8311.16</v>
      </c>
      <c r="AF983">
        <v>7091</v>
      </c>
      <c r="AG983" t="s">
        <v>1870</v>
      </c>
      <c r="AH983" t="s">
        <v>65</v>
      </c>
      <c r="AI983" t="s">
        <v>65</v>
      </c>
      <c r="AJ983" t="s">
        <v>66</v>
      </c>
      <c r="AK983" t="s">
        <v>66</v>
      </c>
      <c r="AL983" t="s">
        <v>66</v>
      </c>
      <c r="AM983" s="2" t="str">
        <f>HYPERLINK("https://transparencia.cidesi.mx/comprobantes/2021/CQ2100624 /C2SOC870210L41_90891R_ING_Sellov33.pdf")</f>
        <v>https://transparencia.cidesi.mx/comprobantes/2021/CQ2100624 /C2SOC870210L41_90891R_ING_Sellov33.pdf</v>
      </c>
      <c r="AN983" t="str">
        <f>HYPERLINK("https://transparencia.cidesi.mx/comprobantes/2021/CQ2100624 /C2SOC870210L41_90891R_ING_Sellov33.pdf")</f>
        <v>https://transparencia.cidesi.mx/comprobantes/2021/CQ2100624 /C2SOC870210L41_90891R_ING_Sellov33.pdf</v>
      </c>
      <c r="AO983" t="str">
        <f>HYPERLINK("https://transparencia.cidesi.mx/comprobantes/2021/CQ2100624 /C2SOC870210L41_90891R_ING_Sellov33.xml")</f>
        <v>https://transparencia.cidesi.mx/comprobantes/2021/CQ2100624 /C2SOC870210L41_90891R_ING_Sellov33.xml</v>
      </c>
      <c r="AP983" t="s">
        <v>1881</v>
      </c>
      <c r="AQ983" t="s">
        <v>1881</v>
      </c>
      <c r="AR983" t="s">
        <v>1881</v>
      </c>
      <c r="AS983" t="s">
        <v>1881</v>
      </c>
      <c r="AT983" s="1">
        <v>44417</v>
      </c>
      <c r="AU983" t="s">
        <v>73</v>
      </c>
    </row>
    <row r="984" spans="1:47" x14ac:dyDescent="0.3">
      <c r="A984" t="s">
        <v>47</v>
      </c>
      <c r="B984" t="s">
        <v>48</v>
      </c>
      <c r="C984" t="s">
        <v>392</v>
      </c>
      <c r="D984">
        <v>9136</v>
      </c>
      <c r="E984" t="s">
        <v>1866</v>
      </c>
      <c r="F984" t="s">
        <v>352</v>
      </c>
      <c r="G984" t="s">
        <v>912</v>
      </c>
      <c r="H984" t="s">
        <v>1878</v>
      </c>
      <c r="I984" t="s">
        <v>54</v>
      </c>
      <c r="J984" t="s">
        <v>1879</v>
      </c>
      <c r="K984" t="s">
        <v>56</v>
      </c>
      <c r="L984">
        <v>0</v>
      </c>
      <c r="M984" t="s">
        <v>73</v>
      </c>
      <c r="N984">
        <v>0</v>
      </c>
      <c r="O984" t="s">
        <v>58</v>
      </c>
      <c r="P984" t="s">
        <v>59</v>
      </c>
      <c r="Q984" t="s">
        <v>408</v>
      </c>
      <c r="R984" t="s">
        <v>1879</v>
      </c>
      <c r="S984" s="1">
        <v>44402</v>
      </c>
      <c r="T984" s="1">
        <v>44408</v>
      </c>
      <c r="U984">
        <v>37501</v>
      </c>
      <c r="V984" t="s">
        <v>61</v>
      </c>
      <c r="W984" t="s">
        <v>1880</v>
      </c>
      <c r="X984" s="1">
        <v>44417</v>
      </c>
      <c r="Y984" t="s">
        <v>100</v>
      </c>
      <c r="Z984">
        <v>536.21</v>
      </c>
      <c r="AA984">
        <v>16</v>
      </c>
      <c r="AB984">
        <v>85.79</v>
      </c>
      <c r="AC984">
        <v>0</v>
      </c>
      <c r="AD984">
        <v>622</v>
      </c>
      <c r="AE984">
        <v>8311.16</v>
      </c>
      <c r="AF984">
        <v>7091</v>
      </c>
      <c r="AG984" t="s">
        <v>1870</v>
      </c>
      <c r="AH984" t="s">
        <v>65</v>
      </c>
      <c r="AI984" t="s">
        <v>65</v>
      </c>
      <c r="AJ984" t="s">
        <v>66</v>
      </c>
      <c r="AK984" t="s">
        <v>66</v>
      </c>
      <c r="AL984" t="s">
        <v>66</v>
      </c>
      <c r="AM984" s="2" t="str">
        <f>HYPERLINK("https://transparencia.cidesi.mx/comprobantes/2021/CQ2100624 /C3A-0020862.pdf")</f>
        <v>https://transparencia.cidesi.mx/comprobantes/2021/CQ2100624 /C3A-0020862.pdf</v>
      </c>
      <c r="AN984" t="str">
        <f>HYPERLINK("https://transparencia.cidesi.mx/comprobantes/2021/CQ2100624 /C3A-0020862.pdf")</f>
        <v>https://transparencia.cidesi.mx/comprobantes/2021/CQ2100624 /C3A-0020862.pdf</v>
      </c>
      <c r="AO984" t="str">
        <f>HYPERLINK("https://transparencia.cidesi.mx/comprobantes/2021/CQ2100624 /C3A-0020862.xml")</f>
        <v>https://transparencia.cidesi.mx/comprobantes/2021/CQ2100624 /C3A-0020862.xml</v>
      </c>
      <c r="AP984" t="s">
        <v>1881</v>
      </c>
      <c r="AQ984" t="s">
        <v>1881</v>
      </c>
      <c r="AR984" t="s">
        <v>1881</v>
      </c>
      <c r="AS984" t="s">
        <v>1881</v>
      </c>
      <c r="AT984" s="1">
        <v>44417</v>
      </c>
      <c r="AU984" t="s">
        <v>73</v>
      </c>
    </row>
    <row r="985" spans="1:47" x14ac:dyDescent="0.3">
      <c r="A985" t="s">
        <v>47</v>
      </c>
      <c r="B985" t="s">
        <v>48</v>
      </c>
      <c r="C985" t="s">
        <v>392</v>
      </c>
      <c r="D985">
        <v>9136</v>
      </c>
      <c r="E985" t="s">
        <v>1866</v>
      </c>
      <c r="F985" t="s">
        <v>352</v>
      </c>
      <c r="G985" t="s">
        <v>912</v>
      </c>
      <c r="H985" t="s">
        <v>1878</v>
      </c>
      <c r="I985" t="s">
        <v>54</v>
      </c>
      <c r="J985" t="s">
        <v>1879</v>
      </c>
      <c r="K985" t="s">
        <v>56</v>
      </c>
      <c r="L985">
        <v>0</v>
      </c>
      <c r="M985" t="s">
        <v>73</v>
      </c>
      <c r="N985">
        <v>0</v>
      </c>
      <c r="O985" t="s">
        <v>58</v>
      </c>
      <c r="P985" t="s">
        <v>59</v>
      </c>
      <c r="Q985" t="s">
        <v>408</v>
      </c>
      <c r="R985" t="s">
        <v>1879</v>
      </c>
      <c r="S985" s="1">
        <v>44402</v>
      </c>
      <c r="T985" s="1">
        <v>44408</v>
      </c>
      <c r="U985">
        <v>37501</v>
      </c>
      <c r="V985" t="s">
        <v>104</v>
      </c>
      <c r="W985" t="s">
        <v>1880</v>
      </c>
      <c r="X985" s="1">
        <v>44417</v>
      </c>
      <c r="Y985" t="s">
        <v>100</v>
      </c>
      <c r="Z985">
        <v>2106.15</v>
      </c>
      <c r="AA985">
        <v>16</v>
      </c>
      <c r="AB985">
        <v>327.16000000000003</v>
      </c>
      <c r="AC985">
        <v>0</v>
      </c>
      <c r="AD985">
        <v>2433.31</v>
      </c>
      <c r="AE985">
        <v>8311.16</v>
      </c>
      <c r="AF985">
        <v>7091</v>
      </c>
      <c r="AG985" t="s">
        <v>1874</v>
      </c>
      <c r="AH985" t="s">
        <v>65</v>
      </c>
      <c r="AI985" t="s">
        <v>65</v>
      </c>
      <c r="AJ985" t="s">
        <v>66</v>
      </c>
      <c r="AK985" t="s">
        <v>66</v>
      </c>
      <c r="AL985" t="s">
        <v>66</v>
      </c>
      <c r="AM985" s="2" t="str">
        <f>HYPERLINK("https://transparencia.cidesi.mx/comprobantes/2021/CQ2100624 /C4SOC870210L41_127284_ING_Sellov33.pdf")</f>
        <v>https://transparencia.cidesi.mx/comprobantes/2021/CQ2100624 /C4SOC870210L41_127284_ING_Sellov33.pdf</v>
      </c>
      <c r="AN985" t="str">
        <f>HYPERLINK("https://transparencia.cidesi.mx/comprobantes/2021/CQ2100624 /C4SOC870210L41_127284_ING_Sellov33.pdf")</f>
        <v>https://transparencia.cidesi.mx/comprobantes/2021/CQ2100624 /C4SOC870210L41_127284_ING_Sellov33.pdf</v>
      </c>
      <c r="AO985" t="str">
        <f>HYPERLINK("https://transparencia.cidesi.mx/comprobantes/2021/CQ2100624 /C4SOC870210L41_127284_ING_Sellov33.xml")</f>
        <v>https://transparencia.cidesi.mx/comprobantes/2021/CQ2100624 /C4SOC870210L41_127284_ING_Sellov33.xml</v>
      </c>
      <c r="AP985" t="s">
        <v>1881</v>
      </c>
      <c r="AQ985" t="s">
        <v>1881</v>
      </c>
      <c r="AR985" t="s">
        <v>1881</v>
      </c>
      <c r="AS985" t="s">
        <v>1881</v>
      </c>
      <c r="AT985" s="1">
        <v>44417</v>
      </c>
      <c r="AU985" t="s">
        <v>73</v>
      </c>
    </row>
    <row r="986" spans="1:47" x14ac:dyDescent="0.3">
      <c r="A986" t="s">
        <v>47</v>
      </c>
      <c r="B986" t="s">
        <v>48</v>
      </c>
      <c r="C986" t="s">
        <v>392</v>
      </c>
      <c r="D986">
        <v>9136</v>
      </c>
      <c r="E986" t="s">
        <v>1866</v>
      </c>
      <c r="F986" t="s">
        <v>352</v>
      </c>
      <c r="G986" t="s">
        <v>912</v>
      </c>
      <c r="H986" t="s">
        <v>1878</v>
      </c>
      <c r="I986" t="s">
        <v>54</v>
      </c>
      <c r="J986" t="s">
        <v>1879</v>
      </c>
      <c r="K986" t="s">
        <v>56</v>
      </c>
      <c r="L986">
        <v>0</v>
      </c>
      <c r="M986" t="s">
        <v>73</v>
      </c>
      <c r="N986">
        <v>0</v>
      </c>
      <c r="O986" t="s">
        <v>58</v>
      </c>
      <c r="P986" t="s">
        <v>59</v>
      </c>
      <c r="Q986" t="s">
        <v>408</v>
      </c>
      <c r="R986" t="s">
        <v>1879</v>
      </c>
      <c r="S986" s="1">
        <v>44402</v>
      </c>
      <c r="T986" s="1">
        <v>44408</v>
      </c>
      <c r="U986">
        <v>37501</v>
      </c>
      <c r="V986" t="s">
        <v>61</v>
      </c>
      <c r="W986" t="s">
        <v>1880</v>
      </c>
      <c r="X986" s="1">
        <v>44417</v>
      </c>
      <c r="Y986" t="s">
        <v>100</v>
      </c>
      <c r="Z986">
        <v>202.59</v>
      </c>
      <c r="AA986">
        <v>16</v>
      </c>
      <c r="AB986">
        <v>32.409999999999997</v>
      </c>
      <c r="AC986">
        <v>0</v>
      </c>
      <c r="AD986">
        <v>235</v>
      </c>
      <c r="AE986">
        <v>8311.16</v>
      </c>
      <c r="AF986">
        <v>7091</v>
      </c>
      <c r="AG986" t="s">
        <v>1870</v>
      </c>
      <c r="AH986" t="s">
        <v>65</v>
      </c>
      <c r="AI986" t="s">
        <v>65</v>
      </c>
      <c r="AJ986" t="s">
        <v>66</v>
      </c>
      <c r="AK986" t="s">
        <v>66</v>
      </c>
      <c r="AL986" t="s">
        <v>66</v>
      </c>
      <c r="AM986" s="2" t="str">
        <f>HYPERLINK("https://transparencia.cidesi.mx/comprobantes/2021/CQ2100624 /C5PPM9203236K2_GW_82581.pdf")</f>
        <v>https://transparencia.cidesi.mx/comprobantes/2021/CQ2100624 /C5PPM9203236K2_GW_82581.pdf</v>
      </c>
      <c r="AN986" t="str">
        <f>HYPERLINK("https://transparencia.cidesi.mx/comprobantes/2021/CQ2100624 /C5PPM9203236K2_GW_82581.pdf")</f>
        <v>https://transparencia.cidesi.mx/comprobantes/2021/CQ2100624 /C5PPM9203236K2_GW_82581.pdf</v>
      </c>
      <c r="AO986" t="str">
        <f>HYPERLINK("https://transparencia.cidesi.mx/comprobantes/2021/CQ2100624 /C5PPM9203236K2_GW_82581.xml")</f>
        <v>https://transparencia.cidesi.mx/comprobantes/2021/CQ2100624 /C5PPM9203236K2_GW_82581.xml</v>
      </c>
      <c r="AP986" t="s">
        <v>1881</v>
      </c>
      <c r="AQ986" t="s">
        <v>1881</v>
      </c>
      <c r="AR986" t="s">
        <v>1881</v>
      </c>
      <c r="AS986" t="s">
        <v>1881</v>
      </c>
      <c r="AT986" s="1">
        <v>44417</v>
      </c>
      <c r="AU986" t="s">
        <v>73</v>
      </c>
    </row>
    <row r="987" spans="1:47" x14ac:dyDescent="0.3">
      <c r="A987" t="s">
        <v>47</v>
      </c>
      <c r="B987" t="s">
        <v>48</v>
      </c>
      <c r="C987" t="s">
        <v>392</v>
      </c>
      <c r="D987">
        <v>9136</v>
      </c>
      <c r="E987" t="s">
        <v>1866</v>
      </c>
      <c r="F987" t="s">
        <v>352</v>
      </c>
      <c r="G987" t="s">
        <v>912</v>
      </c>
      <c r="H987" t="s">
        <v>1878</v>
      </c>
      <c r="I987" t="s">
        <v>54</v>
      </c>
      <c r="J987" t="s">
        <v>1879</v>
      </c>
      <c r="K987" t="s">
        <v>56</v>
      </c>
      <c r="L987">
        <v>0</v>
      </c>
      <c r="M987" t="s">
        <v>73</v>
      </c>
      <c r="N987">
        <v>0</v>
      </c>
      <c r="O987" t="s">
        <v>58</v>
      </c>
      <c r="P987" t="s">
        <v>59</v>
      </c>
      <c r="Q987" t="s">
        <v>408</v>
      </c>
      <c r="R987" t="s">
        <v>1879</v>
      </c>
      <c r="S987" s="1">
        <v>44402</v>
      </c>
      <c r="T987" s="1">
        <v>44408</v>
      </c>
      <c r="U987">
        <v>37501</v>
      </c>
      <c r="V987" t="s">
        <v>61</v>
      </c>
      <c r="W987" t="s">
        <v>1880</v>
      </c>
      <c r="X987" s="1">
        <v>44417</v>
      </c>
      <c r="Y987" t="s">
        <v>100</v>
      </c>
      <c r="Z987">
        <v>200</v>
      </c>
      <c r="AA987">
        <v>16</v>
      </c>
      <c r="AB987">
        <v>32</v>
      </c>
      <c r="AC987">
        <v>0</v>
      </c>
      <c r="AD987">
        <v>232</v>
      </c>
      <c r="AE987">
        <v>8311.16</v>
      </c>
      <c r="AF987">
        <v>7091</v>
      </c>
      <c r="AG987" t="s">
        <v>1870</v>
      </c>
      <c r="AH987" t="s">
        <v>65</v>
      </c>
      <c r="AI987" t="s">
        <v>65</v>
      </c>
      <c r="AJ987" t="s">
        <v>66</v>
      </c>
      <c r="AK987" t="s">
        <v>66</v>
      </c>
      <c r="AL987" t="s">
        <v>66</v>
      </c>
      <c r="AM987" s="2" t="str">
        <f>HYPERLINK("https://transparencia.cidesi.mx/comprobantes/2021/CQ2100624 /C6PPM9203236K2_GW_82585.pdf")</f>
        <v>https://transparencia.cidesi.mx/comprobantes/2021/CQ2100624 /C6PPM9203236K2_GW_82585.pdf</v>
      </c>
      <c r="AN987" t="str">
        <f>HYPERLINK("https://transparencia.cidesi.mx/comprobantes/2021/CQ2100624 /C6PPM9203236K2_GW_82585.pdf")</f>
        <v>https://transparencia.cidesi.mx/comprobantes/2021/CQ2100624 /C6PPM9203236K2_GW_82585.pdf</v>
      </c>
      <c r="AO987" t="str">
        <f>HYPERLINK("https://transparencia.cidesi.mx/comprobantes/2021/CQ2100624 /C6PPM9203236K2_GW_82585.xml")</f>
        <v>https://transparencia.cidesi.mx/comprobantes/2021/CQ2100624 /C6PPM9203236K2_GW_82585.xml</v>
      </c>
      <c r="AP987" t="s">
        <v>1881</v>
      </c>
      <c r="AQ987" t="s">
        <v>1881</v>
      </c>
      <c r="AR987" t="s">
        <v>1881</v>
      </c>
      <c r="AS987" t="s">
        <v>1881</v>
      </c>
      <c r="AT987" s="1">
        <v>44417</v>
      </c>
      <c r="AU987" t="s">
        <v>73</v>
      </c>
    </row>
    <row r="988" spans="1:47" x14ac:dyDescent="0.3">
      <c r="A988" t="s">
        <v>47</v>
      </c>
      <c r="B988" t="s">
        <v>48</v>
      </c>
      <c r="C988" t="s">
        <v>392</v>
      </c>
      <c r="D988">
        <v>9136</v>
      </c>
      <c r="E988" t="s">
        <v>1866</v>
      </c>
      <c r="F988" t="s">
        <v>352</v>
      </c>
      <c r="G988" t="s">
        <v>912</v>
      </c>
      <c r="H988" t="s">
        <v>1878</v>
      </c>
      <c r="I988" t="s">
        <v>54</v>
      </c>
      <c r="J988" t="s">
        <v>1879</v>
      </c>
      <c r="K988" t="s">
        <v>56</v>
      </c>
      <c r="L988">
        <v>0</v>
      </c>
      <c r="M988" t="s">
        <v>73</v>
      </c>
      <c r="N988">
        <v>0</v>
      </c>
      <c r="O988" t="s">
        <v>58</v>
      </c>
      <c r="P988" t="s">
        <v>59</v>
      </c>
      <c r="Q988" t="s">
        <v>408</v>
      </c>
      <c r="R988" t="s">
        <v>1879</v>
      </c>
      <c r="S988" s="1">
        <v>44402</v>
      </c>
      <c r="T988" s="1">
        <v>44408</v>
      </c>
      <c r="U988">
        <v>37501</v>
      </c>
      <c r="V988" t="s">
        <v>61</v>
      </c>
      <c r="W988" t="s">
        <v>1880</v>
      </c>
      <c r="X988" s="1">
        <v>44417</v>
      </c>
      <c r="Y988" t="s">
        <v>100</v>
      </c>
      <c r="Z988">
        <v>240.52</v>
      </c>
      <c r="AA988">
        <v>16</v>
      </c>
      <c r="AB988">
        <v>38.479999999999997</v>
      </c>
      <c r="AC988">
        <v>0</v>
      </c>
      <c r="AD988">
        <v>279</v>
      </c>
      <c r="AE988">
        <v>8311.16</v>
      </c>
      <c r="AF988">
        <v>7091</v>
      </c>
      <c r="AG988" t="s">
        <v>1870</v>
      </c>
      <c r="AH988" t="s">
        <v>65</v>
      </c>
      <c r="AI988" t="s">
        <v>65</v>
      </c>
      <c r="AJ988" t="s">
        <v>66</v>
      </c>
      <c r="AK988" t="s">
        <v>66</v>
      </c>
      <c r="AL988" t="s">
        <v>66</v>
      </c>
      <c r="AM988" s="2" t="str">
        <f>HYPERLINK("https://transparencia.cidesi.mx/comprobantes/2021/CQ2100624 /C7sendai_RSE1912305G3_AC00234.pdf")</f>
        <v>https://transparencia.cidesi.mx/comprobantes/2021/CQ2100624 /C7sendai_RSE1912305G3_AC00234.pdf</v>
      </c>
      <c r="AN988" t="str">
        <f>HYPERLINK("https://transparencia.cidesi.mx/comprobantes/2021/CQ2100624 /C7sendai_RSE1912305G3_AC00234.pdf")</f>
        <v>https://transparencia.cidesi.mx/comprobantes/2021/CQ2100624 /C7sendai_RSE1912305G3_AC00234.pdf</v>
      </c>
      <c r="AO988" t="str">
        <f>HYPERLINK("https://transparencia.cidesi.mx/comprobantes/2021/CQ2100624 /C7sendai_RSE1912305G3_AC00234.xml")</f>
        <v>https://transparencia.cidesi.mx/comprobantes/2021/CQ2100624 /C7sendai_RSE1912305G3_AC00234.xml</v>
      </c>
      <c r="AP988" t="s">
        <v>1881</v>
      </c>
      <c r="AQ988" t="s">
        <v>1881</v>
      </c>
      <c r="AR988" t="s">
        <v>1881</v>
      </c>
      <c r="AS988" t="s">
        <v>1881</v>
      </c>
      <c r="AT988" s="1">
        <v>44417</v>
      </c>
      <c r="AU988" t="s">
        <v>73</v>
      </c>
    </row>
    <row r="989" spans="1:47" x14ac:dyDescent="0.3">
      <c r="A989" t="s">
        <v>47</v>
      </c>
      <c r="B989" t="s">
        <v>48</v>
      </c>
      <c r="C989" t="s">
        <v>392</v>
      </c>
      <c r="D989">
        <v>9136</v>
      </c>
      <c r="E989" t="s">
        <v>1866</v>
      </c>
      <c r="F989" t="s">
        <v>352</v>
      </c>
      <c r="G989" t="s">
        <v>912</v>
      </c>
      <c r="H989" t="s">
        <v>1878</v>
      </c>
      <c r="I989" t="s">
        <v>54</v>
      </c>
      <c r="J989" t="s">
        <v>1879</v>
      </c>
      <c r="K989" t="s">
        <v>56</v>
      </c>
      <c r="L989">
        <v>0</v>
      </c>
      <c r="M989" t="s">
        <v>73</v>
      </c>
      <c r="N989">
        <v>0</v>
      </c>
      <c r="O989" t="s">
        <v>58</v>
      </c>
      <c r="P989" t="s">
        <v>59</v>
      </c>
      <c r="Q989" t="s">
        <v>408</v>
      </c>
      <c r="R989" t="s">
        <v>1879</v>
      </c>
      <c r="S989" s="1">
        <v>44402</v>
      </c>
      <c r="T989" s="1">
        <v>44408</v>
      </c>
      <c r="U989">
        <v>37501</v>
      </c>
      <c r="V989" t="s">
        <v>61</v>
      </c>
      <c r="W989" t="s">
        <v>1880</v>
      </c>
      <c r="X989" s="1">
        <v>44417</v>
      </c>
      <c r="Y989" t="s">
        <v>100</v>
      </c>
      <c r="Z989">
        <v>388.79</v>
      </c>
      <c r="AA989">
        <v>16</v>
      </c>
      <c r="AB989">
        <v>62.21</v>
      </c>
      <c r="AC989">
        <v>0</v>
      </c>
      <c r="AD989">
        <v>451</v>
      </c>
      <c r="AE989">
        <v>8311.16</v>
      </c>
      <c r="AF989">
        <v>7091</v>
      </c>
      <c r="AG989" t="s">
        <v>1870</v>
      </c>
      <c r="AH989" t="s">
        <v>65</v>
      </c>
      <c r="AI989" t="s">
        <v>65</v>
      </c>
      <c r="AJ989" t="s">
        <v>66</v>
      </c>
      <c r="AK989" t="s">
        <v>66</v>
      </c>
      <c r="AL989" t="s">
        <v>66</v>
      </c>
      <c r="AM989" s="2" t="str">
        <f>HYPERLINK("https://transparencia.cidesi.mx/comprobantes/2021/CQ2100624 /C8D__AutoFactura_3056_Comprobantes_fc16891C.pdf")</f>
        <v>https://transparencia.cidesi.mx/comprobantes/2021/CQ2100624 /C8D__AutoFactura_3056_Comprobantes_fc16891C.pdf</v>
      </c>
      <c r="AN989" t="str">
        <f>HYPERLINK("https://transparencia.cidesi.mx/comprobantes/2021/CQ2100624 /C8D__AutoFactura_3056_Comprobantes_fc16891C.pdf")</f>
        <v>https://transparencia.cidesi.mx/comprobantes/2021/CQ2100624 /C8D__AutoFactura_3056_Comprobantes_fc16891C.pdf</v>
      </c>
      <c r="AO989" t="str">
        <f>HYPERLINK("https://transparencia.cidesi.mx/comprobantes/2021/CQ2100624 /C8D__AutoFactura_3056_Comprobantes_16891C_xml.xml")</f>
        <v>https://transparencia.cidesi.mx/comprobantes/2021/CQ2100624 /C8D__AutoFactura_3056_Comprobantes_16891C_xml.xml</v>
      </c>
      <c r="AP989" t="s">
        <v>1881</v>
      </c>
      <c r="AQ989" t="s">
        <v>1881</v>
      </c>
      <c r="AR989" t="s">
        <v>1881</v>
      </c>
      <c r="AS989" t="s">
        <v>1881</v>
      </c>
      <c r="AT989" s="1">
        <v>44417</v>
      </c>
      <c r="AU989" t="s">
        <v>73</v>
      </c>
    </row>
    <row r="990" spans="1:47" x14ac:dyDescent="0.3">
      <c r="A990" t="s">
        <v>47</v>
      </c>
      <c r="B990" t="s">
        <v>48</v>
      </c>
      <c r="C990" t="s">
        <v>392</v>
      </c>
      <c r="D990">
        <v>9136</v>
      </c>
      <c r="E990" t="s">
        <v>1866</v>
      </c>
      <c r="F990" t="s">
        <v>352</v>
      </c>
      <c r="G990" t="s">
        <v>912</v>
      </c>
      <c r="H990" t="s">
        <v>1878</v>
      </c>
      <c r="I990" t="s">
        <v>54</v>
      </c>
      <c r="J990" t="s">
        <v>1879</v>
      </c>
      <c r="K990" t="s">
        <v>56</v>
      </c>
      <c r="L990">
        <v>0</v>
      </c>
      <c r="M990" t="s">
        <v>73</v>
      </c>
      <c r="N990">
        <v>0</v>
      </c>
      <c r="O990" t="s">
        <v>58</v>
      </c>
      <c r="P990" t="s">
        <v>59</v>
      </c>
      <c r="Q990" t="s">
        <v>408</v>
      </c>
      <c r="R990" t="s">
        <v>1879</v>
      </c>
      <c r="S990" s="1">
        <v>44402</v>
      </c>
      <c r="T990" s="1">
        <v>44408</v>
      </c>
      <c r="U990">
        <v>37501</v>
      </c>
      <c r="V990" t="s">
        <v>61</v>
      </c>
      <c r="W990" t="s">
        <v>1880</v>
      </c>
      <c r="X990" s="1">
        <v>44417</v>
      </c>
      <c r="Y990" t="s">
        <v>100</v>
      </c>
      <c r="Z990">
        <v>216.66</v>
      </c>
      <c r="AA990">
        <v>16</v>
      </c>
      <c r="AB990">
        <v>34.67</v>
      </c>
      <c r="AC990">
        <v>0</v>
      </c>
      <c r="AD990">
        <v>251.33</v>
      </c>
      <c r="AE990">
        <v>8311.16</v>
      </c>
      <c r="AF990">
        <v>7091</v>
      </c>
      <c r="AG990" t="s">
        <v>1870</v>
      </c>
      <c r="AH990" t="s">
        <v>65</v>
      </c>
      <c r="AI990" t="s">
        <v>65</v>
      </c>
      <c r="AJ990" t="s">
        <v>66</v>
      </c>
      <c r="AK990" t="s">
        <v>66</v>
      </c>
      <c r="AL990" t="s">
        <v>66</v>
      </c>
      <c r="AM990" s="2" t="str">
        <f>HYPERLINK("https://transparencia.cidesi.mx/comprobantes/2021/CQ2100624 /C9D__AutoFactura_3056_Comprobantes_fc16937C.pdf")</f>
        <v>https://transparencia.cidesi.mx/comprobantes/2021/CQ2100624 /C9D__AutoFactura_3056_Comprobantes_fc16937C.pdf</v>
      </c>
      <c r="AN990" t="str">
        <f>HYPERLINK("https://transparencia.cidesi.mx/comprobantes/2021/CQ2100624 /C9D__AutoFactura_3056_Comprobantes_fc16937C.pdf")</f>
        <v>https://transparencia.cidesi.mx/comprobantes/2021/CQ2100624 /C9D__AutoFactura_3056_Comprobantes_fc16937C.pdf</v>
      </c>
      <c r="AO990" t="str">
        <f>HYPERLINK("https://transparencia.cidesi.mx/comprobantes/2021/CQ2100624 /C9D__AutoFactura_3056_Comprobantes_16937C_xml.xml")</f>
        <v>https://transparencia.cidesi.mx/comprobantes/2021/CQ2100624 /C9D__AutoFactura_3056_Comprobantes_16937C_xml.xml</v>
      </c>
      <c r="AP990" t="s">
        <v>1881</v>
      </c>
      <c r="AQ990" t="s">
        <v>1881</v>
      </c>
      <c r="AR990" t="s">
        <v>1881</v>
      </c>
      <c r="AS990" t="s">
        <v>1881</v>
      </c>
      <c r="AT990" s="1">
        <v>44417</v>
      </c>
      <c r="AU990" t="s">
        <v>73</v>
      </c>
    </row>
    <row r="991" spans="1:47" x14ac:dyDescent="0.3">
      <c r="A991" t="s">
        <v>47</v>
      </c>
      <c r="B991" t="s">
        <v>48</v>
      </c>
      <c r="C991" t="s">
        <v>392</v>
      </c>
      <c r="D991">
        <v>9136</v>
      </c>
      <c r="E991" t="s">
        <v>1866</v>
      </c>
      <c r="F991" t="s">
        <v>352</v>
      </c>
      <c r="G991" t="s">
        <v>912</v>
      </c>
      <c r="H991" t="s">
        <v>1878</v>
      </c>
      <c r="I991" t="s">
        <v>54</v>
      </c>
      <c r="J991" t="s">
        <v>1879</v>
      </c>
      <c r="K991" t="s">
        <v>56</v>
      </c>
      <c r="L991">
        <v>0</v>
      </c>
      <c r="M991" t="s">
        <v>73</v>
      </c>
      <c r="N991">
        <v>0</v>
      </c>
      <c r="O991" t="s">
        <v>58</v>
      </c>
      <c r="P991" t="s">
        <v>59</v>
      </c>
      <c r="Q991" t="s">
        <v>408</v>
      </c>
      <c r="R991" t="s">
        <v>1879</v>
      </c>
      <c r="S991" s="1">
        <v>44402</v>
      </c>
      <c r="T991" s="1">
        <v>44408</v>
      </c>
      <c r="U991">
        <v>37501</v>
      </c>
      <c r="V991" t="s">
        <v>61</v>
      </c>
      <c r="W991" t="s">
        <v>1880</v>
      </c>
      <c r="X991" s="1">
        <v>44417</v>
      </c>
      <c r="Y991" t="s">
        <v>100</v>
      </c>
      <c r="Z991">
        <v>260</v>
      </c>
      <c r="AA991">
        <v>16</v>
      </c>
      <c r="AB991">
        <v>41.6</v>
      </c>
      <c r="AC991">
        <v>0</v>
      </c>
      <c r="AD991">
        <v>301.60000000000002</v>
      </c>
      <c r="AE991">
        <v>8311.16</v>
      </c>
      <c r="AF991">
        <v>7091</v>
      </c>
      <c r="AG991" t="s">
        <v>1870</v>
      </c>
      <c r="AH991" t="s">
        <v>65</v>
      </c>
      <c r="AI991" t="s">
        <v>65</v>
      </c>
      <c r="AJ991" t="s">
        <v>66</v>
      </c>
      <c r="AK991" t="s">
        <v>66</v>
      </c>
      <c r="AL991" t="s">
        <v>66</v>
      </c>
      <c r="AM991" s="2" t="str">
        <f>HYPERLINK("https://transparencia.cidesi.mx/comprobantes/2021/CQ2100624 /C104561_CID840309UG7_2153E20D-B1A0-4632-87E8-2FBD810D2720.pdf")</f>
        <v>https://transparencia.cidesi.mx/comprobantes/2021/CQ2100624 /C104561_CID840309UG7_2153E20D-B1A0-4632-87E8-2FBD810D2720.pdf</v>
      </c>
      <c r="AN991" t="str">
        <f>HYPERLINK("https://transparencia.cidesi.mx/comprobantes/2021/CQ2100624 /C104561_CID840309UG7_2153E20D-B1A0-4632-87E8-2FBD810D2720.pdf")</f>
        <v>https://transparencia.cidesi.mx/comprobantes/2021/CQ2100624 /C104561_CID840309UG7_2153E20D-B1A0-4632-87E8-2FBD810D2720.pdf</v>
      </c>
      <c r="AO991" t="str">
        <f>HYPERLINK("https://transparencia.cidesi.mx/comprobantes/2021/CQ2100624 /C104561_CID840309UG7_2153E20D-B1A0-4632-87E8-2FBD810D2720.xml")</f>
        <v>https://transparencia.cidesi.mx/comprobantes/2021/CQ2100624 /C104561_CID840309UG7_2153E20D-B1A0-4632-87E8-2FBD810D2720.xml</v>
      </c>
      <c r="AP991" t="s">
        <v>1881</v>
      </c>
      <c r="AQ991" t="s">
        <v>1881</v>
      </c>
      <c r="AR991" t="s">
        <v>1881</v>
      </c>
      <c r="AS991" t="s">
        <v>1881</v>
      </c>
      <c r="AT991" s="1">
        <v>44417</v>
      </c>
      <c r="AU991" t="s">
        <v>73</v>
      </c>
    </row>
    <row r="992" spans="1:47" x14ac:dyDescent="0.3">
      <c r="A992" t="s">
        <v>47</v>
      </c>
      <c r="B992" t="s">
        <v>48</v>
      </c>
      <c r="C992" t="s">
        <v>392</v>
      </c>
      <c r="D992">
        <v>9136</v>
      </c>
      <c r="E992" t="s">
        <v>1866</v>
      </c>
      <c r="F992" t="s">
        <v>352</v>
      </c>
      <c r="G992" t="s">
        <v>912</v>
      </c>
      <c r="H992" t="s">
        <v>1878</v>
      </c>
      <c r="I992" t="s">
        <v>54</v>
      </c>
      <c r="J992" t="s">
        <v>1879</v>
      </c>
      <c r="K992" t="s">
        <v>56</v>
      </c>
      <c r="L992">
        <v>0</v>
      </c>
      <c r="M992" t="s">
        <v>73</v>
      </c>
      <c r="N992">
        <v>0</v>
      </c>
      <c r="O992" t="s">
        <v>58</v>
      </c>
      <c r="P992" t="s">
        <v>59</v>
      </c>
      <c r="Q992" t="s">
        <v>408</v>
      </c>
      <c r="R992" t="s">
        <v>1879</v>
      </c>
      <c r="S992" s="1">
        <v>44402</v>
      </c>
      <c r="T992" s="1">
        <v>44408</v>
      </c>
      <c r="U992">
        <v>37501</v>
      </c>
      <c r="V992" t="s">
        <v>61</v>
      </c>
      <c r="W992" t="s">
        <v>1880</v>
      </c>
      <c r="X992" s="1">
        <v>44417</v>
      </c>
      <c r="Y992" t="s">
        <v>100</v>
      </c>
      <c r="Z992">
        <v>170.22</v>
      </c>
      <c r="AA992">
        <v>16</v>
      </c>
      <c r="AB992">
        <v>4.28</v>
      </c>
      <c r="AC992">
        <v>0</v>
      </c>
      <c r="AD992">
        <v>174.5</v>
      </c>
      <c r="AE992">
        <v>8311.16</v>
      </c>
      <c r="AF992">
        <v>7091</v>
      </c>
      <c r="AG992" t="s">
        <v>1870</v>
      </c>
      <c r="AH992" t="s">
        <v>65</v>
      </c>
      <c r="AI992" t="s">
        <v>65</v>
      </c>
      <c r="AJ992" t="s">
        <v>66</v>
      </c>
      <c r="AK992" t="s">
        <v>66</v>
      </c>
      <c r="AL992" t="s">
        <v>66</v>
      </c>
      <c r="AM992" s="2" t="str">
        <f>HYPERLINK("https://transparencia.cidesi.mx/comprobantes/2021/CQ2100624 /C11FACTURA_1628541955527_340367317.pdf")</f>
        <v>https://transparencia.cidesi.mx/comprobantes/2021/CQ2100624 /C11FACTURA_1628541955527_340367317.pdf</v>
      </c>
      <c r="AN992" t="str">
        <f>HYPERLINK("https://transparencia.cidesi.mx/comprobantes/2021/CQ2100624 /C11FACTURA_1628541955527_340367317.pdf")</f>
        <v>https://transparencia.cidesi.mx/comprobantes/2021/CQ2100624 /C11FACTURA_1628541955527_340367317.pdf</v>
      </c>
      <c r="AO992" t="str">
        <f>HYPERLINK("https://transparencia.cidesi.mx/comprobantes/2021/CQ2100624 /C11FACTURA_1628541959097_340367317.xml")</f>
        <v>https://transparencia.cidesi.mx/comprobantes/2021/CQ2100624 /C11FACTURA_1628541959097_340367317.xml</v>
      </c>
      <c r="AP992" t="s">
        <v>1881</v>
      </c>
      <c r="AQ992" t="s">
        <v>1881</v>
      </c>
      <c r="AR992" t="s">
        <v>1881</v>
      </c>
      <c r="AS992" t="s">
        <v>1881</v>
      </c>
      <c r="AT992" s="1">
        <v>44417</v>
      </c>
      <c r="AU992" t="s">
        <v>73</v>
      </c>
    </row>
    <row r="993" spans="1:47" x14ac:dyDescent="0.3">
      <c r="A993" t="s">
        <v>47</v>
      </c>
      <c r="B993" t="s">
        <v>48</v>
      </c>
      <c r="C993" t="s">
        <v>392</v>
      </c>
      <c r="D993">
        <v>9136</v>
      </c>
      <c r="E993" t="s">
        <v>1866</v>
      </c>
      <c r="F993" t="s">
        <v>352</v>
      </c>
      <c r="G993" t="s">
        <v>912</v>
      </c>
      <c r="H993" t="s">
        <v>1878</v>
      </c>
      <c r="I993" t="s">
        <v>54</v>
      </c>
      <c r="J993" t="s">
        <v>1879</v>
      </c>
      <c r="K993" t="s">
        <v>56</v>
      </c>
      <c r="L993">
        <v>0</v>
      </c>
      <c r="M993" t="s">
        <v>73</v>
      </c>
      <c r="N993">
        <v>0</v>
      </c>
      <c r="O993" t="s">
        <v>58</v>
      </c>
      <c r="P993" t="s">
        <v>59</v>
      </c>
      <c r="Q993" t="s">
        <v>408</v>
      </c>
      <c r="R993" t="s">
        <v>1879</v>
      </c>
      <c r="S993" s="1">
        <v>44402</v>
      </c>
      <c r="T993" s="1">
        <v>44408</v>
      </c>
      <c r="U993">
        <v>37501</v>
      </c>
      <c r="V993" t="s">
        <v>61</v>
      </c>
      <c r="W993" t="s">
        <v>1880</v>
      </c>
      <c r="X993" s="1">
        <v>44417</v>
      </c>
      <c r="Y993" t="s">
        <v>100</v>
      </c>
      <c r="Z993">
        <v>781.77</v>
      </c>
      <c r="AA993">
        <v>16</v>
      </c>
      <c r="AB993">
        <v>121.44</v>
      </c>
      <c r="AC993">
        <v>0</v>
      </c>
      <c r="AD993">
        <v>903.21</v>
      </c>
      <c r="AE993">
        <v>8311.16</v>
      </c>
      <c r="AF993">
        <v>7091</v>
      </c>
      <c r="AG993" t="s">
        <v>1870</v>
      </c>
      <c r="AH993" t="s">
        <v>65</v>
      </c>
      <c r="AI993" t="s">
        <v>65</v>
      </c>
      <c r="AJ993" t="s">
        <v>66</v>
      </c>
      <c r="AK993" t="s">
        <v>66</v>
      </c>
      <c r="AL993" t="s">
        <v>66</v>
      </c>
      <c r="AM993" s="2" t="str">
        <f>HYPERLINK("https://transparencia.cidesi.mx/comprobantes/2021/CQ2100624 /C12HLA981210IF7-01-08-2021-144315066-2584c04c-5525-4861-9398-205eecec0220-RAMRECA-7556.pdf")</f>
        <v>https://transparencia.cidesi.mx/comprobantes/2021/CQ2100624 /C12HLA981210IF7-01-08-2021-144315066-2584c04c-5525-4861-9398-205eecec0220-RAMRECA-7556.pdf</v>
      </c>
      <c r="AN993" t="str">
        <f>HYPERLINK("https://transparencia.cidesi.mx/comprobantes/2021/CQ2100624 /C12HLA981210IF7-01-08-2021-144315066-2584c04c-5525-4861-9398-205eecec0220-RAMRECA-7556.pdf")</f>
        <v>https://transparencia.cidesi.mx/comprobantes/2021/CQ2100624 /C12HLA981210IF7-01-08-2021-144315066-2584c04c-5525-4861-9398-205eecec0220-RAMRECA-7556.pdf</v>
      </c>
      <c r="AO993" t="str">
        <f>HYPERLINK("https://transparencia.cidesi.mx/comprobantes/2021/CQ2100624 /C12HLA981210IF7-01-08-2021-144315066-2584c04c-5525-4861-9398-205eecec0220-RAMRECA-7556.xml")</f>
        <v>https://transparencia.cidesi.mx/comprobantes/2021/CQ2100624 /C12HLA981210IF7-01-08-2021-144315066-2584c04c-5525-4861-9398-205eecec0220-RAMRECA-7556.xml</v>
      </c>
      <c r="AP993" t="s">
        <v>1881</v>
      </c>
      <c r="AQ993" t="s">
        <v>1881</v>
      </c>
      <c r="AR993" t="s">
        <v>1881</v>
      </c>
      <c r="AS993" t="s">
        <v>1881</v>
      </c>
      <c r="AT993" s="1">
        <v>44417</v>
      </c>
      <c r="AU993" t="s">
        <v>73</v>
      </c>
    </row>
    <row r="994" spans="1:47" x14ac:dyDescent="0.3">
      <c r="A994" t="s">
        <v>47</v>
      </c>
      <c r="B994" t="s">
        <v>48</v>
      </c>
      <c r="C994" t="s">
        <v>392</v>
      </c>
      <c r="D994">
        <v>9136</v>
      </c>
      <c r="E994" t="s">
        <v>1866</v>
      </c>
      <c r="F994" t="s">
        <v>352</v>
      </c>
      <c r="G994" t="s">
        <v>912</v>
      </c>
      <c r="H994" t="s">
        <v>1878</v>
      </c>
      <c r="I994" t="s">
        <v>54</v>
      </c>
      <c r="J994" t="s">
        <v>1879</v>
      </c>
      <c r="K994" t="s">
        <v>56</v>
      </c>
      <c r="L994">
        <v>0</v>
      </c>
      <c r="M994" t="s">
        <v>73</v>
      </c>
      <c r="N994">
        <v>0</v>
      </c>
      <c r="O994" t="s">
        <v>58</v>
      </c>
      <c r="P994" t="s">
        <v>59</v>
      </c>
      <c r="Q994" t="s">
        <v>408</v>
      </c>
      <c r="R994" t="s">
        <v>1879</v>
      </c>
      <c r="S994" s="1">
        <v>44402</v>
      </c>
      <c r="T994" s="1">
        <v>44408</v>
      </c>
      <c r="U994">
        <v>37501</v>
      </c>
      <c r="V994" t="s">
        <v>104</v>
      </c>
      <c r="W994" t="s">
        <v>1880</v>
      </c>
      <c r="X994" s="1">
        <v>44417</v>
      </c>
      <c r="Y994" t="s">
        <v>100</v>
      </c>
      <c r="Z994">
        <v>781.77</v>
      </c>
      <c r="AA994">
        <v>16</v>
      </c>
      <c r="AB994">
        <v>121.44</v>
      </c>
      <c r="AC994">
        <v>0</v>
      </c>
      <c r="AD994">
        <v>903.21</v>
      </c>
      <c r="AE994">
        <v>8311.16</v>
      </c>
      <c r="AF994">
        <v>7091</v>
      </c>
      <c r="AG994" t="s">
        <v>1874</v>
      </c>
      <c r="AH994" t="s">
        <v>65</v>
      </c>
      <c r="AI994" t="s">
        <v>65</v>
      </c>
      <c r="AJ994" t="s">
        <v>66</v>
      </c>
      <c r="AK994" t="s">
        <v>66</v>
      </c>
      <c r="AL994" t="s">
        <v>66</v>
      </c>
      <c r="AM994" s="2" t="str">
        <f>HYPERLINK("https://transparencia.cidesi.mx/comprobantes/2021/CQ2100624 /C13HLA981210IF7-01-08-2021-144916304-6a6cb497-3549-4b20-8278-0fd107e4e608-RAMRECA-7557.pdf")</f>
        <v>https://transparencia.cidesi.mx/comprobantes/2021/CQ2100624 /C13HLA981210IF7-01-08-2021-144916304-6a6cb497-3549-4b20-8278-0fd107e4e608-RAMRECA-7557.pdf</v>
      </c>
      <c r="AN994" t="str">
        <f>HYPERLINK("https://transparencia.cidesi.mx/comprobantes/2021/CQ2100624 /C13HLA981210IF7-01-08-2021-144916304-6a6cb497-3549-4b20-8278-0fd107e4e608-RAMRECA-7557.pdf")</f>
        <v>https://transparencia.cidesi.mx/comprobantes/2021/CQ2100624 /C13HLA981210IF7-01-08-2021-144916304-6a6cb497-3549-4b20-8278-0fd107e4e608-RAMRECA-7557.pdf</v>
      </c>
      <c r="AO994" t="str">
        <f>HYPERLINK("https://transparencia.cidesi.mx/comprobantes/2021/CQ2100624 /C13HLA981210IF7-01-08-2021-144916304-6a6cb497-3549-4b20-8278-0fd107e4e608-RAMRECA-7557.xml")</f>
        <v>https://transparencia.cidesi.mx/comprobantes/2021/CQ2100624 /C13HLA981210IF7-01-08-2021-144916304-6a6cb497-3549-4b20-8278-0fd107e4e608-RAMRECA-7557.xml</v>
      </c>
      <c r="AP994" t="s">
        <v>1881</v>
      </c>
      <c r="AQ994" t="s">
        <v>1881</v>
      </c>
      <c r="AR994" t="s">
        <v>1881</v>
      </c>
      <c r="AS994" t="s">
        <v>1881</v>
      </c>
      <c r="AT994" s="1">
        <v>44417</v>
      </c>
      <c r="AU994" t="s">
        <v>73</v>
      </c>
    </row>
    <row r="995" spans="1:47" x14ac:dyDescent="0.3">
      <c r="A995" t="s">
        <v>47</v>
      </c>
      <c r="B995" t="s">
        <v>48</v>
      </c>
      <c r="C995" t="s">
        <v>392</v>
      </c>
      <c r="D995">
        <v>9136</v>
      </c>
      <c r="E995" t="s">
        <v>1866</v>
      </c>
      <c r="F995" t="s">
        <v>352</v>
      </c>
      <c r="G995" t="s">
        <v>912</v>
      </c>
      <c r="H995" t="s">
        <v>1878</v>
      </c>
      <c r="I995" t="s">
        <v>54</v>
      </c>
      <c r="J995" t="s">
        <v>1879</v>
      </c>
      <c r="K995" t="s">
        <v>56</v>
      </c>
      <c r="L995">
        <v>0</v>
      </c>
      <c r="M995" t="s">
        <v>73</v>
      </c>
      <c r="N995">
        <v>0</v>
      </c>
      <c r="O995" t="s">
        <v>58</v>
      </c>
      <c r="P995" t="s">
        <v>59</v>
      </c>
      <c r="Q995" t="s">
        <v>408</v>
      </c>
      <c r="R995" t="s">
        <v>1879</v>
      </c>
      <c r="S995" s="1">
        <v>44402</v>
      </c>
      <c r="T995" s="1">
        <v>44408</v>
      </c>
      <c r="U995">
        <v>37501</v>
      </c>
      <c r="V995" t="s">
        <v>61</v>
      </c>
      <c r="W995" t="s">
        <v>1880</v>
      </c>
      <c r="X995" s="1">
        <v>44417</v>
      </c>
      <c r="Y995" t="s">
        <v>100</v>
      </c>
      <c r="Z995">
        <v>342.24</v>
      </c>
      <c r="AA995">
        <v>16</v>
      </c>
      <c r="AB995">
        <v>54.76</v>
      </c>
      <c r="AC995">
        <v>0</v>
      </c>
      <c r="AD995">
        <v>397</v>
      </c>
      <c r="AE995">
        <v>8311.16</v>
      </c>
      <c r="AF995">
        <v>7091</v>
      </c>
      <c r="AG995" t="s">
        <v>1870</v>
      </c>
      <c r="AH995" t="s">
        <v>65</v>
      </c>
      <c r="AI995" t="s">
        <v>65</v>
      </c>
      <c r="AJ995" t="s">
        <v>66</v>
      </c>
      <c r="AK995" t="s">
        <v>66</v>
      </c>
      <c r="AL995" t="s">
        <v>66</v>
      </c>
      <c r="AM995" s="2" t="str">
        <f>HYPERLINK("https://transparencia.cidesi.mx/comprobantes/2021/CQ2100624 /C14c28f5438-6b48-43ef-9e17-099bd032c6e9.pdf")</f>
        <v>https://transparencia.cidesi.mx/comprobantes/2021/CQ2100624 /C14c28f5438-6b48-43ef-9e17-099bd032c6e9.pdf</v>
      </c>
      <c r="AN995" t="str">
        <f>HYPERLINK("https://transparencia.cidesi.mx/comprobantes/2021/CQ2100624 /C14c28f5438-6b48-43ef-9e17-099bd032c6e9.pdf")</f>
        <v>https://transparencia.cidesi.mx/comprobantes/2021/CQ2100624 /C14c28f5438-6b48-43ef-9e17-099bd032c6e9.pdf</v>
      </c>
      <c r="AO995" t="str">
        <f>HYPERLINK("https://transparencia.cidesi.mx/comprobantes/2021/CQ2100624 /C14c28f5438-6b48-43ef-9e17-099bd032c6e9.xml")</f>
        <v>https://transparencia.cidesi.mx/comprobantes/2021/CQ2100624 /C14c28f5438-6b48-43ef-9e17-099bd032c6e9.xml</v>
      </c>
      <c r="AP995" t="s">
        <v>1881</v>
      </c>
      <c r="AQ995" t="s">
        <v>1881</v>
      </c>
      <c r="AR995" t="s">
        <v>1881</v>
      </c>
      <c r="AS995" t="s">
        <v>1881</v>
      </c>
      <c r="AT995" s="1">
        <v>44417</v>
      </c>
      <c r="AU995" t="s">
        <v>73</v>
      </c>
    </row>
    <row r="996" spans="1:47" x14ac:dyDescent="0.3">
      <c r="A996" t="s">
        <v>47</v>
      </c>
      <c r="B996" t="s">
        <v>48</v>
      </c>
      <c r="C996" t="s">
        <v>392</v>
      </c>
      <c r="D996">
        <v>9136</v>
      </c>
      <c r="E996" t="s">
        <v>1866</v>
      </c>
      <c r="F996" t="s">
        <v>352</v>
      </c>
      <c r="G996" t="s">
        <v>912</v>
      </c>
      <c r="H996" t="s">
        <v>1882</v>
      </c>
      <c r="I996" t="s">
        <v>54</v>
      </c>
      <c r="J996" t="s">
        <v>1883</v>
      </c>
      <c r="K996" t="s">
        <v>56</v>
      </c>
      <c r="L996">
        <v>0</v>
      </c>
      <c r="M996" t="s">
        <v>73</v>
      </c>
      <c r="N996">
        <v>0</v>
      </c>
      <c r="O996" t="s">
        <v>58</v>
      </c>
      <c r="P996" t="s">
        <v>59</v>
      </c>
      <c r="Q996" t="s">
        <v>408</v>
      </c>
      <c r="R996" t="s">
        <v>1883</v>
      </c>
      <c r="S996" s="1">
        <v>44408</v>
      </c>
      <c r="T996" s="1">
        <v>44414</v>
      </c>
      <c r="U996">
        <v>37501</v>
      </c>
      <c r="V996" t="s">
        <v>104</v>
      </c>
      <c r="W996" t="s">
        <v>1884</v>
      </c>
      <c r="X996" s="1">
        <v>44424</v>
      </c>
      <c r="Y996" t="s">
        <v>63</v>
      </c>
      <c r="Z996">
        <v>917.46</v>
      </c>
      <c r="AA996">
        <v>16</v>
      </c>
      <c r="AB996">
        <v>142.52000000000001</v>
      </c>
      <c r="AC996">
        <v>0</v>
      </c>
      <c r="AD996">
        <v>1059.98</v>
      </c>
      <c r="AE996">
        <v>3959.79</v>
      </c>
      <c r="AF996">
        <v>7091</v>
      </c>
      <c r="AG996" t="s">
        <v>1874</v>
      </c>
      <c r="AH996" t="s">
        <v>65</v>
      </c>
      <c r="AI996" t="s">
        <v>65</v>
      </c>
      <c r="AJ996" t="s">
        <v>66</v>
      </c>
      <c r="AK996" t="s">
        <v>66</v>
      </c>
      <c r="AL996" t="s">
        <v>66</v>
      </c>
      <c r="AM996" s="2" t="str">
        <f>HYPERLINK("https://transparencia.cidesi.mx/comprobantes/2021/CQ2100655 /C1FAC3459.pdf")</f>
        <v>https://transparencia.cidesi.mx/comprobantes/2021/CQ2100655 /C1FAC3459.pdf</v>
      </c>
      <c r="AN996" t="str">
        <f>HYPERLINK("https://transparencia.cidesi.mx/comprobantes/2021/CQ2100655 /C1FAC3459.pdf")</f>
        <v>https://transparencia.cidesi.mx/comprobantes/2021/CQ2100655 /C1FAC3459.pdf</v>
      </c>
      <c r="AO996" t="str">
        <f>HYPERLINK("https://transparencia.cidesi.mx/comprobantes/2021/CQ2100655 /C1FAC3459.xml")</f>
        <v>https://transparencia.cidesi.mx/comprobantes/2021/CQ2100655 /C1FAC3459.xml</v>
      </c>
      <c r="AP996" t="s">
        <v>1885</v>
      </c>
      <c r="AQ996" t="s">
        <v>1885</v>
      </c>
      <c r="AR996" t="s">
        <v>1885</v>
      </c>
      <c r="AS996" t="s">
        <v>1885</v>
      </c>
      <c r="AT996" s="1">
        <v>44424</v>
      </c>
      <c r="AU996" s="1">
        <v>44433</v>
      </c>
    </row>
    <row r="997" spans="1:47" x14ac:dyDescent="0.3">
      <c r="A997" t="s">
        <v>47</v>
      </c>
      <c r="B997" t="s">
        <v>48</v>
      </c>
      <c r="C997" t="s">
        <v>392</v>
      </c>
      <c r="D997">
        <v>9136</v>
      </c>
      <c r="E997" t="s">
        <v>1866</v>
      </c>
      <c r="F997" t="s">
        <v>352</v>
      </c>
      <c r="G997" t="s">
        <v>912</v>
      </c>
      <c r="H997" t="s">
        <v>1882</v>
      </c>
      <c r="I997" t="s">
        <v>54</v>
      </c>
      <c r="J997" t="s">
        <v>1883</v>
      </c>
      <c r="K997" t="s">
        <v>56</v>
      </c>
      <c r="L997">
        <v>0</v>
      </c>
      <c r="M997" t="s">
        <v>73</v>
      </c>
      <c r="N997">
        <v>0</v>
      </c>
      <c r="O997" t="s">
        <v>58</v>
      </c>
      <c r="P997" t="s">
        <v>59</v>
      </c>
      <c r="Q997" t="s">
        <v>408</v>
      </c>
      <c r="R997" t="s">
        <v>1883</v>
      </c>
      <c r="S997" s="1">
        <v>44408</v>
      </c>
      <c r="T997" s="1">
        <v>44414</v>
      </c>
      <c r="U997">
        <v>37501</v>
      </c>
      <c r="V997" t="s">
        <v>104</v>
      </c>
      <c r="W997" t="s">
        <v>1884</v>
      </c>
      <c r="X997" s="1">
        <v>44424</v>
      </c>
      <c r="Y997" t="s">
        <v>63</v>
      </c>
      <c r="Z997">
        <v>778.99</v>
      </c>
      <c r="AA997">
        <v>16</v>
      </c>
      <c r="AB997">
        <v>121.01</v>
      </c>
      <c r="AC997">
        <v>0</v>
      </c>
      <c r="AD997">
        <v>900</v>
      </c>
      <c r="AE997">
        <v>3959.79</v>
      </c>
      <c r="AF997">
        <v>7091</v>
      </c>
      <c r="AG997" t="s">
        <v>1874</v>
      </c>
      <c r="AH997" t="s">
        <v>65</v>
      </c>
      <c r="AI997" t="s">
        <v>65</v>
      </c>
      <c r="AJ997" t="s">
        <v>66</v>
      </c>
      <c r="AK997" t="s">
        <v>66</v>
      </c>
      <c r="AL997" t="s">
        <v>66</v>
      </c>
      <c r="AM997" s="2" t="str">
        <f>HYPERLINK("https://transparencia.cidesi.mx/comprobantes/2021/CQ2100655 /C2627334D5-22C6-4AFA-B151-4453A0670118.pdf")</f>
        <v>https://transparencia.cidesi.mx/comprobantes/2021/CQ2100655 /C2627334D5-22C6-4AFA-B151-4453A0670118.pdf</v>
      </c>
      <c r="AN997" t="str">
        <f>HYPERLINK("https://transparencia.cidesi.mx/comprobantes/2021/CQ2100655 /C2627334D5-22C6-4AFA-B151-4453A0670118.pdf")</f>
        <v>https://transparencia.cidesi.mx/comprobantes/2021/CQ2100655 /C2627334D5-22C6-4AFA-B151-4453A0670118.pdf</v>
      </c>
      <c r="AO997" t="str">
        <f>HYPERLINK("https://transparencia.cidesi.mx/comprobantes/2021/CQ2100655 /C2627334D5-22C6-4AFA-B151-4453A0670118.xml")</f>
        <v>https://transparencia.cidesi.mx/comprobantes/2021/CQ2100655 /C2627334D5-22C6-4AFA-B151-4453A0670118.xml</v>
      </c>
      <c r="AP997" t="s">
        <v>1885</v>
      </c>
      <c r="AQ997" t="s">
        <v>1885</v>
      </c>
      <c r="AR997" t="s">
        <v>1885</v>
      </c>
      <c r="AS997" t="s">
        <v>1885</v>
      </c>
      <c r="AT997" s="1">
        <v>44424</v>
      </c>
      <c r="AU997" s="1">
        <v>44433</v>
      </c>
    </row>
    <row r="998" spans="1:47" x14ac:dyDescent="0.3">
      <c r="A998" t="s">
        <v>47</v>
      </c>
      <c r="B998" t="s">
        <v>48</v>
      </c>
      <c r="C998" t="s">
        <v>392</v>
      </c>
      <c r="D998">
        <v>9136</v>
      </c>
      <c r="E998" t="s">
        <v>1866</v>
      </c>
      <c r="F998" t="s">
        <v>352</v>
      </c>
      <c r="G998" t="s">
        <v>912</v>
      </c>
      <c r="H998" t="s">
        <v>1882</v>
      </c>
      <c r="I998" t="s">
        <v>54</v>
      </c>
      <c r="J998" t="s">
        <v>1883</v>
      </c>
      <c r="K998" t="s">
        <v>56</v>
      </c>
      <c r="L998">
        <v>0</v>
      </c>
      <c r="M998" t="s">
        <v>73</v>
      </c>
      <c r="N998">
        <v>0</v>
      </c>
      <c r="O998" t="s">
        <v>58</v>
      </c>
      <c r="P998" t="s">
        <v>59</v>
      </c>
      <c r="Q998" t="s">
        <v>408</v>
      </c>
      <c r="R998" t="s">
        <v>1883</v>
      </c>
      <c r="S998" s="1">
        <v>44408</v>
      </c>
      <c r="T998" s="1">
        <v>44414</v>
      </c>
      <c r="U998">
        <v>37501</v>
      </c>
      <c r="V998" t="s">
        <v>61</v>
      </c>
      <c r="W998" t="s">
        <v>1884</v>
      </c>
      <c r="X998" s="1">
        <v>44424</v>
      </c>
      <c r="Y998" t="s">
        <v>63</v>
      </c>
      <c r="Z998">
        <v>181.03</v>
      </c>
      <c r="AA998">
        <v>16</v>
      </c>
      <c r="AB998">
        <v>28.97</v>
      </c>
      <c r="AC998">
        <v>0</v>
      </c>
      <c r="AD998">
        <v>210</v>
      </c>
      <c r="AE998">
        <v>3959.79</v>
      </c>
      <c r="AF998">
        <v>7091</v>
      </c>
      <c r="AG998" t="s">
        <v>1870</v>
      </c>
      <c r="AH998" t="s">
        <v>65</v>
      </c>
      <c r="AI998" t="s">
        <v>65</v>
      </c>
      <c r="AJ998" t="s">
        <v>66</v>
      </c>
      <c r="AK998" t="s">
        <v>66</v>
      </c>
      <c r="AL998" t="s">
        <v>66</v>
      </c>
      <c r="AM998" s="2" t="str">
        <f>HYPERLINK("https://transparencia.cidesi.mx/comprobantes/2021/CQ2100655 /C3PPC9301185P5_WBG_61779.pdf")</f>
        <v>https://transparencia.cidesi.mx/comprobantes/2021/CQ2100655 /C3PPC9301185P5_WBG_61779.pdf</v>
      </c>
      <c r="AN998" t="str">
        <f>HYPERLINK("https://transparencia.cidesi.mx/comprobantes/2021/CQ2100655 /C3PPC9301185P5_WBG_61779.pdf")</f>
        <v>https://transparencia.cidesi.mx/comprobantes/2021/CQ2100655 /C3PPC9301185P5_WBG_61779.pdf</v>
      </c>
      <c r="AO998" t="str">
        <f>HYPERLINK("https://transparencia.cidesi.mx/comprobantes/2021/CQ2100655 /C3PPC9301185P5_WBG_61779.xml")</f>
        <v>https://transparencia.cidesi.mx/comprobantes/2021/CQ2100655 /C3PPC9301185P5_WBG_61779.xml</v>
      </c>
      <c r="AP998" t="s">
        <v>1885</v>
      </c>
      <c r="AQ998" t="s">
        <v>1885</v>
      </c>
      <c r="AR998" t="s">
        <v>1885</v>
      </c>
      <c r="AS998" t="s">
        <v>1885</v>
      </c>
      <c r="AT998" s="1">
        <v>44424</v>
      </c>
      <c r="AU998" s="1">
        <v>44433</v>
      </c>
    </row>
    <row r="999" spans="1:47" x14ac:dyDescent="0.3">
      <c r="A999" t="s">
        <v>47</v>
      </c>
      <c r="B999" t="s">
        <v>48</v>
      </c>
      <c r="C999" t="s">
        <v>392</v>
      </c>
      <c r="D999">
        <v>9136</v>
      </c>
      <c r="E999" t="s">
        <v>1866</v>
      </c>
      <c r="F999" t="s">
        <v>352</v>
      </c>
      <c r="G999" t="s">
        <v>912</v>
      </c>
      <c r="H999" t="s">
        <v>1882</v>
      </c>
      <c r="I999" t="s">
        <v>54</v>
      </c>
      <c r="J999" t="s">
        <v>1883</v>
      </c>
      <c r="K999" t="s">
        <v>56</v>
      </c>
      <c r="L999">
        <v>0</v>
      </c>
      <c r="M999" t="s">
        <v>73</v>
      </c>
      <c r="N999">
        <v>0</v>
      </c>
      <c r="O999" t="s">
        <v>58</v>
      </c>
      <c r="P999" t="s">
        <v>59</v>
      </c>
      <c r="Q999" t="s">
        <v>408</v>
      </c>
      <c r="R999" t="s">
        <v>1883</v>
      </c>
      <c r="S999" s="1">
        <v>44408</v>
      </c>
      <c r="T999" s="1">
        <v>44414</v>
      </c>
      <c r="U999">
        <v>37501</v>
      </c>
      <c r="V999" t="s">
        <v>61</v>
      </c>
      <c r="W999" t="s">
        <v>1884</v>
      </c>
      <c r="X999" s="1">
        <v>44424</v>
      </c>
      <c r="Y999" t="s">
        <v>63</v>
      </c>
      <c r="Z999">
        <v>161.9</v>
      </c>
      <c r="AA999">
        <v>16</v>
      </c>
      <c r="AB999">
        <v>25.9</v>
      </c>
      <c r="AC999">
        <v>0</v>
      </c>
      <c r="AD999">
        <v>187.8</v>
      </c>
      <c r="AE999">
        <v>3959.79</v>
      </c>
      <c r="AF999">
        <v>7091</v>
      </c>
      <c r="AG999" t="s">
        <v>1870</v>
      </c>
      <c r="AH999" t="s">
        <v>65</v>
      </c>
      <c r="AI999" t="s">
        <v>65</v>
      </c>
      <c r="AJ999" t="s">
        <v>66</v>
      </c>
      <c r="AK999" t="s">
        <v>66</v>
      </c>
      <c r="AL999" t="s">
        <v>66</v>
      </c>
      <c r="AM999" s="2" t="str">
        <f>HYPERLINK("https://transparencia.cidesi.mx/comprobantes/2021/CQ2100655 /C4PPC9301185P5_WBG_61781.pdf")</f>
        <v>https://transparencia.cidesi.mx/comprobantes/2021/CQ2100655 /C4PPC9301185P5_WBG_61781.pdf</v>
      </c>
      <c r="AN999" t="str">
        <f>HYPERLINK("https://transparencia.cidesi.mx/comprobantes/2021/CQ2100655 /C4PPC9301185P5_WBG_61781.pdf")</f>
        <v>https://transparencia.cidesi.mx/comprobantes/2021/CQ2100655 /C4PPC9301185P5_WBG_61781.pdf</v>
      </c>
      <c r="AO999" t="str">
        <f>HYPERLINK("https://transparencia.cidesi.mx/comprobantes/2021/CQ2100655 /C4PPC9301185P5_WBG_61781.xml")</f>
        <v>https://transparencia.cidesi.mx/comprobantes/2021/CQ2100655 /C4PPC9301185P5_WBG_61781.xml</v>
      </c>
      <c r="AP999" t="s">
        <v>1885</v>
      </c>
      <c r="AQ999" t="s">
        <v>1885</v>
      </c>
      <c r="AR999" t="s">
        <v>1885</v>
      </c>
      <c r="AS999" t="s">
        <v>1885</v>
      </c>
      <c r="AT999" s="1">
        <v>44424</v>
      </c>
      <c r="AU999" s="1">
        <v>44433</v>
      </c>
    </row>
    <row r="1000" spans="1:47" x14ac:dyDescent="0.3">
      <c r="A1000" t="s">
        <v>47</v>
      </c>
      <c r="B1000" t="s">
        <v>48</v>
      </c>
      <c r="C1000" t="s">
        <v>392</v>
      </c>
      <c r="D1000">
        <v>9136</v>
      </c>
      <c r="E1000" t="s">
        <v>1866</v>
      </c>
      <c r="F1000" t="s">
        <v>352</v>
      </c>
      <c r="G1000" t="s">
        <v>912</v>
      </c>
      <c r="H1000" t="s">
        <v>1882</v>
      </c>
      <c r="I1000" t="s">
        <v>54</v>
      </c>
      <c r="J1000" t="s">
        <v>1883</v>
      </c>
      <c r="K1000" t="s">
        <v>56</v>
      </c>
      <c r="L1000">
        <v>0</v>
      </c>
      <c r="M1000" t="s">
        <v>73</v>
      </c>
      <c r="N1000">
        <v>0</v>
      </c>
      <c r="O1000" t="s">
        <v>58</v>
      </c>
      <c r="P1000" t="s">
        <v>59</v>
      </c>
      <c r="Q1000" t="s">
        <v>408</v>
      </c>
      <c r="R1000" t="s">
        <v>1883</v>
      </c>
      <c r="S1000" s="1">
        <v>44408</v>
      </c>
      <c r="T1000" s="1">
        <v>44414</v>
      </c>
      <c r="U1000">
        <v>37501</v>
      </c>
      <c r="V1000" t="s">
        <v>61</v>
      </c>
      <c r="W1000" t="s">
        <v>1884</v>
      </c>
      <c r="X1000" s="1">
        <v>44424</v>
      </c>
      <c r="Y1000" t="s">
        <v>63</v>
      </c>
      <c r="Z1000">
        <v>320.52</v>
      </c>
      <c r="AA1000">
        <v>16</v>
      </c>
      <c r="AB1000">
        <v>10.98</v>
      </c>
      <c r="AC1000">
        <v>0</v>
      </c>
      <c r="AD1000">
        <v>331.5</v>
      </c>
      <c r="AE1000">
        <v>3959.79</v>
      </c>
      <c r="AF1000">
        <v>7091</v>
      </c>
      <c r="AG1000" t="s">
        <v>1870</v>
      </c>
      <c r="AH1000" t="s">
        <v>65</v>
      </c>
      <c r="AI1000" t="s">
        <v>65</v>
      </c>
      <c r="AJ1000" t="s">
        <v>66</v>
      </c>
      <c r="AK1000" t="s">
        <v>66</v>
      </c>
      <c r="AL1000" t="s">
        <v>66</v>
      </c>
      <c r="AM1000" s="2" t="str">
        <f>HYPERLINK("https://transparencia.cidesi.mx/comprobantes/2021/CQ2100655 /C5FACTURA_1629137978636_341019045.pdf")</f>
        <v>https://transparencia.cidesi.mx/comprobantes/2021/CQ2100655 /C5FACTURA_1629137978636_341019045.pdf</v>
      </c>
      <c r="AN1000" t="str">
        <f>HYPERLINK("https://transparencia.cidesi.mx/comprobantes/2021/CQ2100655 /C5FACTURA_1629137978636_341019045.pdf")</f>
        <v>https://transparencia.cidesi.mx/comprobantes/2021/CQ2100655 /C5FACTURA_1629137978636_341019045.pdf</v>
      </c>
      <c r="AO1000" t="str">
        <f>HYPERLINK("https://transparencia.cidesi.mx/comprobantes/2021/CQ2100655 /C5FACTURA_1629137980286_341019045.xml")</f>
        <v>https://transparencia.cidesi.mx/comprobantes/2021/CQ2100655 /C5FACTURA_1629137980286_341019045.xml</v>
      </c>
      <c r="AP1000" t="s">
        <v>1885</v>
      </c>
      <c r="AQ1000" t="s">
        <v>1885</v>
      </c>
      <c r="AR1000" t="s">
        <v>1885</v>
      </c>
      <c r="AS1000" t="s">
        <v>1885</v>
      </c>
      <c r="AT1000" s="1">
        <v>44424</v>
      </c>
      <c r="AU1000" s="1">
        <v>44433</v>
      </c>
    </row>
    <row r="1001" spans="1:47" x14ac:dyDescent="0.3">
      <c r="A1001" t="s">
        <v>47</v>
      </c>
      <c r="B1001" t="s">
        <v>48</v>
      </c>
      <c r="C1001" t="s">
        <v>392</v>
      </c>
      <c r="D1001">
        <v>9136</v>
      </c>
      <c r="E1001" t="s">
        <v>1866</v>
      </c>
      <c r="F1001" t="s">
        <v>352</v>
      </c>
      <c r="G1001" t="s">
        <v>912</v>
      </c>
      <c r="H1001" t="s">
        <v>1882</v>
      </c>
      <c r="I1001" t="s">
        <v>54</v>
      </c>
      <c r="J1001" t="s">
        <v>1883</v>
      </c>
      <c r="K1001" t="s">
        <v>56</v>
      </c>
      <c r="L1001">
        <v>0</v>
      </c>
      <c r="M1001" t="s">
        <v>73</v>
      </c>
      <c r="N1001">
        <v>0</v>
      </c>
      <c r="O1001" t="s">
        <v>58</v>
      </c>
      <c r="P1001" t="s">
        <v>59</v>
      </c>
      <c r="Q1001" t="s">
        <v>408</v>
      </c>
      <c r="R1001" t="s">
        <v>1883</v>
      </c>
      <c r="S1001" s="1">
        <v>44408</v>
      </c>
      <c r="T1001" s="1">
        <v>44414</v>
      </c>
      <c r="U1001">
        <v>37501</v>
      </c>
      <c r="V1001" t="s">
        <v>61</v>
      </c>
      <c r="W1001" t="s">
        <v>1884</v>
      </c>
      <c r="X1001" s="1">
        <v>44424</v>
      </c>
      <c r="Y1001" t="s">
        <v>63</v>
      </c>
      <c r="Z1001">
        <v>331.04</v>
      </c>
      <c r="AA1001">
        <v>16</v>
      </c>
      <c r="AB1001">
        <v>52.97</v>
      </c>
      <c r="AC1001">
        <v>0</v>
      </c>
      <c r="AD1001">
        <v>384.01</v>
      </c>
      <c r="AE1001">
        <v>3959.79</v>
      </c>
      <c r="AF1001">
        <v>7091</v>
      </c>
      <c r="AG1001" t="s">
        <v>1870</v>
      </c>
      <c r="AH1001" t="s">
        <v>65</v>
      </c>
      <c r="AI1001" t="s">
        <v>65</v>
      </c>
      <c r="AJ1001" t="s">
        <v>66</v>
      </c>
      <c r="AK1001" t="s">
        <v>66</v>
      </c>
      <c r="AL1001" t="s">
        <v>66</v>
      </c>
      <c r="AM1001" s="2" t="str">
        <f>HYPERLINK("https://transparencia.cidesi.mx/comprobantes/2021/CQ2100655 /C6SIGN_RAM160311H56_A438_CID840309UG7.pdf")</f>
        <v>https://transparencia.cidesi.mx/comprobantes/2021/CQ2100655 /C6SIGN_RAM160311H56_A438_CID840309UG7.pdf</v>
      </c>
      <c r="AN1001" t="str">
        <f>HYPERLINK("https://transparencia.cidesi.mx/comprobantes/2021/CQ2100655 /C6SIGN_RAM160311H56_A438_CID840309UG7.pdf")</f>
        <v>https://transparencia.cidesi.mx/comprobantes/2021/CQ2100655 /C6SIGN_RAM160311H56_A438_CID840309UG7.pdf</v>
      </c>
      <c r="AO1001" t="str">
        <f>HYPERLINK("https://transparencia.cidesi.mx/comprobantes/2021/CQ2100655 /C6SIGN_RAM160311H56_A438_CID840309UG7.xml")</f>
        <v>https://transparencia.cidesi.mx/comprobantes/2021/CQ2100655 /C6SIGN_RAM160311H56_A438_CID840309UG7.xml</v>
      </c>
      <c r="AP1001" t="s">
        <v>1885</v>
      </c>
      <c r="AQ1001" t="s">
        <v>1885</v>
      </c>
      <c r="AR1001" t="s">
        <v>1885</v>
      </c>
      <c r="AS1001" t="s">
        <v>1885</v>
      </c>
      <c r="AT1001" s="1">
        <v>44424</v>
      </c>
      <c r="AU1001" s="1">
        <v>44433</v>
      </c>
    </row>
    <row r="1002" spans="1:47" x14ac:dyDescent="0.3">
      <c r="A1002" t="s">
        <v>47</v>
      </c>
      <c r="B1002" t="s">
        <v>48</v>
      </c>
      <c r="C1002" t="s">
        <v>392</v>
      </c>
      <c r="D1002">
        <v>9136</v>
      </c>
      <c r="E1002" t="s">
        <v>1866</v>
      </c>
      <c r="F1002" t="s">
        <v>352</v>
      </c>
      <c r="G1002" t="s">
        <v>912</v>
      </c>
      <c r="H1002" t="s">
        <v>1882</v>
      </c>
      <c r="I1002" t="s">
        <v>54</v>
      </c>
      <c r="J1002" t="s">
        <v>1883</v>
      </c>
      <c r="K1002" t="s">
        <v>56</v>
      </c>
      <c r="L1002">
        <v>0</v>
      </c>
      <c r="M1002" t="s">
        <v>73</v>
      </c>
      <c r="N1002">
        <v>0</v>
      </c>
      <c r="O1002" t="s">
        <v>58</v>
      </c>
      <c r="P1002" t="s">
        <v>59</v>
      </c>
      <c r="Q1002" t="s">
        <v>408</v>
      </c>
      <c r="R1002" t="s">
        <v>1883</v>
      </c>
      <c r="S1002" s="1">
        <v>44408</v>
      </c>
      <c r="T1002" s="1">
        <v>44414</v>
      </c>
      <c r="U1002">
        <v>37501</v>
      </c>
      <c r="V1002" t="s">
        <v>61</v>
      </c>
      <c r="W1002" t="s">
        <v>1884</v>
      </c>
      <c r="X1002" s="1">
        <v>44424</v>
      </c>
      <c r="Y1002" t="s">
        <v>63</v>
      </c>
      <c r="Z1002">
        <v>221.79</v>
      </c>
      <c r="AA1002">
        <v>16</v>
      </c>
      <c r="AB1002">
        <v>4.21</v>
      </c>
      <c r="AC1002">
        <v>0</v>
      </c>
      <c r="AD1002">
        <v>226</v>
      </c>
      <c r="AE1002">
        <v>3959.79</v>
      </c>
      <c r="AF1002">
        <v>7091</v>
      </c>
      <c r="AG1002" t="s">
        <v>1870</v>
      </c>
      <c r="AH1002" t="s">
        <v>65</v>
      </c>
      <c r="AI1002" t="s">
        <v>65</v>
      </c>
      <c r="AJ1002" t="s">
        <v>66</v>
      </c>
      <c r="AK1002" t="s">
        <v>66</v>
      </c>
      <c r="AL1002" t="s">
        <v>66</v>
      </c>
      <c r="AM1002" s="2" t="str">
        <f>HYPERLINK("https://transparencia.cidesi.mx/comprobantes/2021/CQ2100655 /C7FACTURA_1629138542866_341020635.pdf")</f>
        <v>https://transparencia.cidesi.mx/comprobantes/2021/CQ2100655 /C7FACTURA_1629138542866_341020635.pdf</v>
      </c>
      <c r="AN1002" t="str">
        <f>HYPERLINK("https://transparencia.cidesi.mx/comprobantes/2021/CQ2100655 /C7FACTURA_1629138542866_341020635.pdf")</f>
        <v>https://transparencia.cidesi.mx/comprobantes/2021/CQ2100655 /C7FACTURA_1629138542866_341020635.pdf</v>
      </c>
      <c r="AO1002" t="str">
        <f>HYPERLINK("https://transparencia.cidesi.mx/comprobantes/2021/CQ2100655 /C7FACTURA_1629138544536_341020635.xml")</f>
        <v>https://transparencia.cidesi.mx/comprobantes/2021/CQ2100655 /C7FACTURA_1629138544536_341020635.xml</v>
      </c>
      <c r="AP1002" t="s">
        <v>1885</v>
      </c>
      <c r="AQ1002" t="s">
        <v>1885</v>
      </c>
      <c r="AR1002" t="s">
        <v>1885</v>
      </c>
      <c r="AS1002" t="s">
        <v>1885</v>
      </c>
      <c r="AT1002" s="1">
        <v>44424</v>
      </c>
      <c r="AU1002" s="1">
        <v>44433</v>
      </c>
    </row>
    <row r="1003" spans="1:47" x14ac:dyDescent="0.3">
      <c r="A1003" t="s">
        <v>47</v>
      </c>
      <c r="B1003" t="s">
        <v>48</v>
      </c>
      <c r="C1003" t="s">
        <v>392</v>
      </c>
      <c r="D1003">
        <v>9136</v>
      </c>
      <c r="E1003" t="s">
        <v>1866</v>
      </c>
      <c r="F1003" t="s">
        <v>352</v>
      </c>
      <c r="G1003" t="s">
        <v>912</v>
      </c>
      <c r="H1003" t="s">
        <v>1882</v>
      </c>
      <c r="I1003" t="s">
        <v>54</v>
      </c>
      <c r="J1003" t="s">
        <v>1883</v>
      </c>
      <c r="K1003" t="s">
        <v>56</v>
      </c>
      <c r="L1003">
        <v>0</v>
      </c>
      <c r="M1003" t="s">
        <v>73</v>
      </c>
      <c r="N1003">
        <v>0</v>
      </c>
      <c r="O1003" t="s">
        <v>58</v>
      </c>
      <c r="P1003" t="s">
        <v>59</v>
      </c>
      <c r="Q1003" t="s">
        <v>408</v>
      </c>
      <c r="R1003" t="s">
        <v>1883</v>
      </c>
      <c r="S1003" s="1">
        <v>44408</v>
      </c>
      <c r="T1003" s="1">
        <v>44414</v>
      </c>
      <c r="U1003">
        <v>37501</v>
      </c>
      <c r="V1003" t="s">
        <v>61</v>
      </c>
      <c r="W1003" t="s">
        <v>1884</v>
      </c>
      <c r="X1003" s="1">
        <v>44424</v>
      </c>
      <c r="Y1003" t="s">
        <v>63</v>
      </c>
      <c r="Z1003">
        <v>187.95</v>
      </c>
      <c r="AA1003">
        <v>16</v>
      </c>
      <c r="AB1003">
        <v>4.55</v>
      </c>
      <c r="AC1003">
        <v>0</v>
      </c>
      <c r="AD1003">
        <v>192.5</v>
      </c>
      <c r="AE1003">
        <v>3959.79</v>
      </c>
      <c r="AF1003">
        <v>7091</v>
      </c>
      <c r="AG1003" t="s">
        <v>1870</v>
      </c>
      <c r="AH1003" t="s">
        <v>65</v>
      </c>
      <c r="AI1003" t="s">
        <v>65</v>
      </c>
      <c r="AJ1003" t="s">
        <v>66</v>
      </c>
      <c r="AK1003" t="s">
        <v>66</v>
      </c>
      <c r="AL1003" t="s">
        <v>66</v>
      </c>
      <c r="AM1003" s="2" t="str">
        <f>HYPERLINK("https://transparencia.cidesi.mx/comprobantes/2021/CQ2100655 /C8FACTURA_1629138933596_341021641.pdf")</f>
        <v>https://transparencia.cidesi.mx/comprobantes/2021/CQ2100655 /C8FACTURA_1629138933596_341021641.pdf</v>
      </c>
      <c r="AN1003" t="str">
        <f>HYPERLINK("https://transparencia.cidesi.mx/comprobantes/2021/CQ2100655 /C8FACTURA_1629138933596_341021641.pdf")</f>
        <v>https://transparencia.cidesi.mx/comprobantes/2021/CQ2100655 /C8FACTURA_1629138933596_341021641.pdf</v>
      </c>
      <c r="AO1003" t="str">
        <f>HYPERLINK("https://transparencia.cidesi.mx/comprobantes/2021/CQ2100655 /C8FACTURA_1629138935226_341021641.xml")</f>
        <v>https://transparencia.cidesi.mx/comprobantes/2021/CQ2100655 /C8FACTURA_1629138935226_341021641.xml</v>
      </c>
      <c r="AP1003" t="s">
        <v>1885</v>
      </c>
      <c r="AQ1003" t="s">
        <v>1885</v>
      </c>
      <c r="AR1003" t="s">
        <v>1885</v>
      </c>
      <c r="AS1003" t="s">
        <v>1885</v>
      </c>
      <c r="AT1003" s="1">
        <v>44424</v>
      </c>
      <c r="AU1003" s="1">
        <v>44433</v>
      </c>
    </row>
    <row r="1004" spans="1:47" x14ac:dyDescent="0.3">
      <c r="A1004" t="s">
        <v>47</v>
      </c>
      <c r="B1004" t="s">
        <v>48</v>
      </c>
      <c r="C1004" t="s">
        <v>392</v>
      </c>
      <c r="D1004">
        <v>9136</v>
      </c>
      <c r="E1004" t="s">
        <v>1866</v>
      </c>
      <c r="F1004" t="s">
        <v>352</v>
      </c>
      <c r="G1004" t="s">
        <v>912</v>
      </c>
      <c r="H1004" t="s">
        <v>1882</v>
      </c>
      <c r="I1004" t="s">
        <v>54</v>
      </c>
      <c r="J1004" t="s">
        <v>1883</v>
      </c>
      <c r="K1004" t="s">
        <v>56</v>
      </c>
      <c r="L1004">
        <v>0</v>
      </c>
      <c r="M1004" t="s">
        <v>73</v>
      </c>
      <c r="N1004">
        <v>0</v>
      </c>
      <c r="O1004" t="s">
        <v>58</v>
      </c>
      <c r="P1004" t="s">
        <v>59</v>
      </c>
      <c r="Q1004" t="s">
        <v>408</v>
      </c>
      <c r="R1004" t="s">
        <v>1883</v>
      </c>
      <c r="S1004" s="1">
        <v>44408</v>
      </c>
      <c r="T1004" s="1">
        <v>44414</v>
      </c>
      <c r="U1004">
        <v>37501</v>
      </c>
      <c r="V1004" t="s">
        <v>61</v>
      </c>
      <c r="W1004" t="s">
        <v>1884</v>
      </c>
      <c r="X1004" s="1">
        <v>44424</v>
      </c>
      <c r="Y1004" t="s">
        <v>63</v>
      </c>
      <c r="Z1004">
        <v>204.31</v>
      </c>
      <c r="AA1004">
        <v>16</v>
      </c>
      <c r="AB1004">
        <v>32.69</v>
      </c>
      <c r="AC1004">
        <v>0</v>
      </c>
      <c r="AD1004">
        <v>237</v>
      </c>
      <c r="AE1004">
        <v>3959.79</v>
      </c>
      <c r="AF1004">
        <v>7091</v>
      </c>
      <c r="AG1004" t="s">
        <v>1870</v>
      </c>
      <c r="AH1004" t="s">
        <v>65</v>
      </c>
      <c r="AI1004" t="s">
        <v>65</v>
      </c>
      <c r="AJ1004" t="s">
        <v>66</v>
      </c>
      <c r="AK1004" t="s">
        <v>66</v>
      </c>
      <c r="AL1004" t="s">
        <v>66</v>
      </c>
      <c r="AM1004" s="2" t="str">
        <f>HYPERLINK("https://transparencia.cidesi.mx/comprobantes/2021/CQ2100655 /C9PDF1BF97C02-34FC-46FA-9ED0-1AE60EF6B04E.pdf")</f>
        <v>https://transparencia.cidesi.mx/comprobantes/2021/CQ2100655 /C9PDF1BF97C02-34FC-46FA-9ED0-1AE60EF6B04E.pdf</v>
      </c>
      <c r="AN1004" t="str">
        <f>HYPERLINK("https://transparencia.cidesi.mx/comprobantes/2021/CQ2100655 /C9PDF1BF97C02-34FC-46FA-9ED0-1AE60EF6B04E.pdf")</f>
        <v>https://transparencia.cidesi.mx/comprobantes/2021/CQ2100655 /C9PDF1BF97C02-34FC-46FA-9ED0-1AE60EF6B04E.pdf</v>
      </c>
      <c r="AO1004" t="str">
        <f>HYPERLINK("https://transparencia.cidesi.mx/comprobantes/2021/CQ2100655 /C9XML1BF97C02-34FC-46FA-9ED0-1AE60EF6B04E.xml")</f>
        <v>https://transparencia.cidesi.mx/comprobantes/2021/CQ2100655 /C9XML1BF97C02-34FC-46FA-9ED0-1AE60EF6B04E.xml</v>
      </c>
      <c r="AP1004" t="s">
        <v>1885</v>
      </c>
      <c r="AQ1004" t="s">
        <v>1885</v>
      </c>
      <c r="AR1004" t="s">
        <v>1885</v>
      </c>
      <c r="AS1004" t="s">
        <v>1885</v>
      </c>
      <c r="AT1004" s="1">
        <v>44424</v>
      </c>
      <c r="AU1004" s="1">
        <v>44433</v>
      </c>
    </row>
    <row r="1005" spans="1:47" x14ac:dyDescent="0.3">
      <c r="A1005" t="s">
        <v>47</v>
      </c>
      <c r="B1005" t="s">
        <v>48</v>
      </c>
      <c r="C1005" t="s">
        <v>392</v>
      </c>
      <c r="D1005">
        <v>9136</v>
      </c>
      <c r="E1005" t="s">
        <v>1866</v>
      </c>
      <c r="F1005" t="s">
        <v>352</v>
      </c>
      <c r="G1005" t="s">
        <v>912</v>
      </c>
      <c r="H1005" t="s">
        <v>1882</v>
      </c>
      <c r="I1005" t="s">
        <v>54</v>
      </c>
      <c r="J1005" t="s">
        <v>1883</v>
      </c>
      <c r="K1005" t="s">
        <v>56</v>
      </c>
      <c r="L1005">
        <v>0</v>
      </c>
      <c r="M1005" t="s">
        <v>73</v>
      </c>
      <c r="N1005">
        <v>0</v>
      </c>
      <c r="O1005" t="s">
        <v>58</v>
      </c>
      <c r="P1005" t="s">
        <v>59</v>
      </c>
      <c r="Q1005" t="s">
        <v>408</v>
      </c>
      <c r="R1005" t="s">
        <v>1883</v>
      </c>
      <c r="S1005" s="1">
        <v>44408</v>
      </c>
      <c r="T1005" s="1">
        <v>44414</v>
      </c>
      <c r="U1005">
        <v>37501</v>
      </c>
      <c r="V1005" t="s">
        <v>94</v>
      </c>
      <c r="W1005" t="s">
        <v>1884</v>
      </c>
      <c r="X1005" s="1">
        <v>44424</v>
      </c>
      <c r="Y1005" t="s">
        <v>63</v>
      </c>
      <c r="Z1005">
        <v>77</v>
      </c>
      <c r="AA1005">
        <v>0</v>
      </c>
      <c r="AB1005">
        <v>0</v>
      </c>
      <c r="AC1005">
        <v>0</v>
      </c>
      <c r="AD1005">
        <v>77</v>
      </c>
      <c r="AE1005">
        <v>3959.79</v>
      </c>
      <c r="AF1005">
        <v>7091</v>
      </c>
      <c r="AG1005" t="s">
        <v>1886</v>
      </c>
      <c r="AH1005" t="s">
        <v>66</v>
      </c>
      <c r="AI1005" t="s">
        <v>66</v>
      </c>
      <c r="AJ1005" t="s">
        <v>66</v>
      </c>
      <c r="AK1005" t="s">
        <v>66</v>
      </c>
      <c r="AL1005" t="s">
        <v>66</v>
      </c>
      <c r="AM1005" s="2" t="s">
        <v>73</v>
      </c>
      <c r="AN1005" t="s">
        <v>73</v>
      </c>
      <c r="AO1005" t="s">
        <v>73</v>
      </c>
      <c r="AP1005" t="s">
        <v>1885</v>
      </c>
      <c r="AQ1005" t="s">
        <v>1885</v>
      </c>
      <c r="AR1005" t="s">
        <v>1885</v>
      </c>
      <c r="AS1005" t="s">
        <v>1885</v>
      </c>
      <c r="AT1005" s="1">
        <v>44424</v>
      </c>
      <c r="AU1005" s="1">
        <v>44433</v>
      </c>
    </row>
    <row r="1006" spans="1:47" x14ac:dyDescent="0.3">
      <c r="A1006" t="s">
        <v>47</v>
      </c>
      <c r="B1006" t="s">
        <v>48</v>
      </c>
      <c r="C1006" t="s">
        <v>392</v>
      </c>
      <c r="D1006">
        <v>9136</v>
      </c>
      <c r="E1006" t="s">
        <v>1866</v>
      </c>
      <c r="F1006" t="s">
        <v>352</v>
      </c>
      <c r="G1006" t="s">
        <v>912</v>
      </c>
      <c r="H1006" t="s">
        <v>1882</v>
      </c>
      <c r="I1006" t="s">
        <v>54</v>
      </c>
      <c r="J1006" t="s">
        <v>1883</v>
      </c>
      <c r="K1006" t="s">
        <v>56</v>
      </c>
      <c r="L1006">
        <v>0</v>
      </c>
      <c r="M1006" t="s">
        <v>73</v>
      </c>
      <c r="N1006">
        <v>0</v>
      </c>
      <c r="O1006" t="s">
        <v>58</v>
      </c>
      <c r="P1006" t="s">
        <v>59</v>
      </c>
      <c r="Q1006" t="s">
        <v>408</v>
      </c>
      <c r="R1006" t="s">
        <v>1883</v>
      </c>
      <c r="S1006" s="1">
        <v>44408</v>
      </c>
      <c r="T1006" s="1">
        <v>44414</v>
      </c>
      <c r="U1006">
        <v>37501</v>
      </c>
      <c r="V1006" t="s">
        <v>94</v>
      </c>
      <c r="W1006" t="s">
        <v>1884</v>
      </c>
      <c r="X1006" s="1">
        <v>44424</v>
      </c>
      <c r="Y1006" t="s">
        <v>63</v>
      </c>
      <c r="Z1006">
        <v>77</v>
      </c>
      <c r="AA1006">
        <v>0</v>
      </c>
      <c r="AB1006">
        <v>0</v>
      </c>
      <c r="AC1006">
        <v>0</v>
      </c>
      <c r="AD1006">
        <v>77</v>
      </c>
      <c r="AE1006">
        <v>3959.79</v>
      </c>
      <c r="AF1006">
        <v>7091</v>
      </c>
      <c r="AG1006" t="s">
        <v>1886</v>
      </c>
      <c r="AH1006" t="s">
        <v>66</v>
      </c>
      <c r="AI1006" t="s">
        <v>66</v>
      </c>
      <c r="AJ1006" t="s">
        <v>66</v>
      </c>
      <c r="AK1006" t="s">
        <v>66</v>
      </c>
      <c r="AL1006" t="s">
        <v>66</v>
      </c>
      <c r="AM1006" s="2" t="s">
        <v>73</v>
      </c>
      <c r="AN1006" t="s">
        <v>73</v>
      </c>
      <c r="AO1006" t="s">
        <v>73</v>
      </c>
      <c r="AP1006" t="s">
        <v>1885</v>
      </c>
      <c r="AQ1006" t="s">
        <v>1885</v>
      </c>
      <c r="AR1006" t="s">
        <v>1885</v>
      </c>
      <c r="AS1006" t="s">
        <v>1885</v>
      </c>
      <c r="AT1006" s="1">
        <v>44424</v>
      </c>
      <c r="AU1006" s="1">
        <v>44433</v>
      </c>
    </row>
    <row r="1007" spans="1:47" x14ac:dyDescent="0.3">
      <c r="A1007" t="s">
        <v>47</v>
      </c>
      <c r="B1007" t="s">
        <v>48</v>
      </c>
      <c r="C1007" t="s">
        <v>392</v>
      </c>
      <c r="D1007">
        <v>9136</v>
      </c>
      <c r="E1007" t="s">
        <v>1866</v>
      </c>
      <c r="F1007" t="s">
        <v>352</v>
      </c>
      <c r="G1007" t="s">
        <v>912</v>
      </c>
      <c r="H1007" t="s">
        <v>1882</v>
      </c>
      <c r="I1007" t="s">
        <v>54</v>
      </c>
      <c r="J1007" t="s">
        <v>1883</v>
      </c>
      <c r="K1007" t="s">
        <v>56</v>
      </c>
      <c r="L1007">
        <v>0</v>
      </c>
      <c r="M1007" t="s">
        <v>73</v>
      </c>
      <c r="N1007">
        <v>0</v>
      </c>
      <c r="O1007" t="s">
        <v>58</v>
      </c>
      <c r="P1007" t="s">
        <v>59</v>
      </c>
      <c r="Q1007" t="s">
        <v>408</v>
      </c>
      <c r="R1007" t="s">
        <v>1883</v>
      </c>
      <c r="S1007" s="1">
        <v>44408</v>
      </c>
      <c r="T1007" s="1">
        <v>44414</v>
      </c>
      <c r="U1007">
        <v>37501</v>
      </c>
      <c r="V1007" t="s">
        <v>94</v>
      </c>
      <c r="W1007" t="s">
        <v>1884</v>
      </c>
      <c r="X1007" s="1">
        <v>44424</v>
      </c>
      <c r="Y1007" t="s">
        <v>63</v>
      </c>
      <c r="Z1007">
        <v>77</v>
      </c>
      <c r="AA1007">
        <v>0</v>
      </c>
      <c r="AB1007">
        <v>0</v>
      </c>
      <c r="AC1007">
        <v>0</v>
      </c>
      <c r="AD1007">
        <v>77</v>
      </c>
      <c r="AE1007">
        <v>3959.79</v>
      </c>
      <c r="AF1007">
        <v>7091</v>
      </c>
      <c r="AG1007" t="s">
        <v>1886</v>
      </c>
      <c r="AH1007" t="s">
        <v>66</v>
      </c>
      <c r="AI1007" t="s">
        <v>66</v>
      </c>
      <c r="AJ1007" t="s">
        <v>66</v>
      </c>
      <c r="AK1007" t="s">
        <v>66</v>
      </c>
      <c r="AL1007" t="s">
        <v>66</v>
      </c>
      <c r="AM1007" s="2" t="s">
        <v>73</v>
      </c>
      <c r="AN1007" t="s">
        <v>73</v>
      </c>
      <c r="AO1007" t="s">
        <v>73</v>
      </c>
      <c r="AP1007" t="s">
        <v>1885</v>
      </c>
      <c r="AQ1007" t="s">
        <v>1885</v>
      </c>
      <c r="AR1007" t="s">
        <v>1885</v>
      </c>
      <c r="AS1007" t="s">
        <v>1885</v>
      </c>
      <c r="AT1007" s="1">
        <v>44424</v>
      </c>
      <c r="AU1007" s="1">
        <v>44433</v>
      </c>
    </row>
    <row r="1008" spans="1:47" x14ac:dyDescent="0.3">
      <c r="A1008" t="s">
        <v>47</v>
      </c>
      <c r="B1008" t="s">
        <v>48</v>
      </c>
      <c r="C1008" t="s">
        <v>392</v>
      </c>
      <c r="D1008">
        <v>9136</v>
      </c>
      <c r="E1008" t="s">
        <v>1866</v>
      </c>
      <c r="F1008" t="s">
        <v>352</v>
      </c>
      <c r="G1008" t="s">
        <v>912</v>
      </c>
      <c r="H1008" t="s">
        <v>1887</v>
      </c>
      <c r="I1008" t="s">
        <v>54</v>
      </c>
      <c r="J1008" t="s">
        <v>1888</v>
      </c>
      <c r="K1008" t="s">
        <v>56</v>
      </c>
      <c r="L1008">
        <v>0</v>
      </c>
      <c r="M1008" t="s">
        <v>73</v>
      </c>
      <c r="N1008">
        <v>0</v>
      </c>
      <c r="O1008" t="s">
        <v>58</v>
      </c>
      <c r="P1008" t="s">
        <v>59</v>
      </c>
      <c r="Q1008" t="s">
        <v>274</v>
      </c>
      <c r="R1008" t="s">
        <v>1888</v>
      </c>
      <c r="S1008" s="1">
        <v>44429</v>
      </c>
      <c r="T1008" s="1">
        <v>44430</v>
      </c>
      <c r="U1008">
        <v>37501</v>
      </c>
      <c r="V1008" t="s">
        <v>61</v>
      </c>
      <c r="W1008" t="s">
        <v>1889</v>
      </c>
      <c r="X1008" s="1">
        <v>44438</v>
      </c>
      <c r="Y1008" t="s">
        <v>63</v>
      </c>
      <c r="Z1008">
        <v>633.62</v>
      </c>
      <c r="AA1008">
        <v>16</v>
      </c>
      <c r="AB1008">
        <v>101.38</v>
      </c>
      <c r="AC1008">
        <v>0</v>
      </c>
      <c r="AD1008">
        <v>735</v>
      </c>
      <c r="AE1008">
        <v>1180</v>
      </c>
      <c r="AF1008">
        <v>1636</v>
      </c>
      <c r="AG1008" t="s">
        <v>1870</v>
      </c>
      <c r="AH1008" t="s">
        <v>65</v>
      </c>
      <c r="AI1008" t="s">
        <v>65</v>
      </c>
      <c r="AJ1008" t="s">
        <v>66</v>
      </c>
      <c r="AK1008" t="s">
        <v>66</v>
      </c>
      <c r="AL1008" t="s">
        <v>66</v>
      </c>
      <c r="AM1008" s="2" t="str">
        <f>HYPERLINK("https://transparencia.cidesi.mx/comprobantes/2021/CQ2100705 /C1COME760106817FF2014.pdf")</f>
        <v>https://transparencia.cidesi.mx/comprobantes/2021/CQ2100705 /C1COME760106817FF2014.pdf</v>
      </c>
      <c r="AN1008" t="str">
        <f>HYPERLINK("https://transparencia.cidesi.mx/comprobantes/2021/CQ2100705 /C1COME760106817FF2014.pdf")</f>
        <v>https://transparencia.cidesi.mx/comprobantes/2021/CQ2100705 /C1COME760106817FF2014.pdf</v>
      </c>
      <c r="AO1008" t="str">
        <f>HYPERLINK("https://transparencia.cidesi.mx/comprobantes/2021/CQ2100705 /C1COME760106817FF2014.xml")</f>
        <v>https://transparencia.cidesi.mx/comprobantes/2021/CQ2100705 /C1COME760106817FF2014.xml</v>
      </c>
      <c r="AP1008" t="s">
        <v>1890</v>
      </c>
      <c r="AQ1008" t="s">
        <v>1891</v>
      </c>
      <c r="AR1008" t="s">
        <v>1891</v>
      </c>
      <c r="AS1008" t="s">
        <v>1890</v>
      </c>
      <c r="AT1008" s="1">
        <v>44438</v>
      </c>
      <c r="AU1008" s="1">
        <v>44442</v>
      </c>
    </row>
    <row r="1009" spans="1:47" x14ac:dyDescent="0.3">
      <c r="A1009" t="s">
        <v>47</v>
      </c>
      <c r="B1009" t="s">
        <v>48</v>
      </c>
      <c r="C1009" t="s">
        <v>392</v>
      </c>
      <c r="D1009">
        <v>9136</v>
      </c>
      <c r="E1009" t="s">
        <v>1866</v>
      </c>
      <c r="F1009" t="s">
        <v>352</v>
      </c>
      <c r="G1009" t="s">
        <v>912</v>
      </c>
      <c r="H1009" t="s">
        <v>1887</v>
      </c>
      <c r="I1009" t="s">
        <v>54</v>
      </c>
      <c r="J1009" t="s">
        <v>1888</v>
      </c>
      <c r="K1009" t="s">
        <v>56</v>
      </c>
      <c r="L1009">
        <v>0</v>
      </c>
      <c r="M1009" t="s">
        <v>73</v>
      </c>
      <c r="N1009">
        <v>0</v>
      </c>
      <c r="O1009" t="s">
        <v>58</v>
      </c>
      <c r="P1009" t="s">
        <v>59</v>
      </c>
      <c r="Q1009" t="s">
        <v>274</v>
      </c>
      <c r="R1009" t="s">
        <v>1888</v>
      </c>
      <c r="S1009" s="1">
        <v>44429</v>
      </c>
      <c r="T1009" s="1">
        <v>44430</v>
      </c>
      <c r="U1009">
        <v>37501</v>
      </c>
      <c r="V1009" t="s">
        <v>61</v>
      </c>
      <c r="W1009" t="s">
        <v>1889</v>
      </c>
      <c r="X1009" s="1">
        <v>44438</v>
      </c>
      <c r="Y1009" t="s">
        <v>63</v>
      </c>
      <c r="Z1009">
        <v>383.62</v>
      </c>
      <c r="AA1009">
        <v>16</v>
      </c>
      <c r="AB1009">
        <v>61.38</v>
      </c>
      <c r="AC1009">
        <v>0</v>
      </c>
      <c r="AD1009">
        <v>445</v>
      </c>
      <c r="AE1009">
        <v>1180</v>
      </c>
      <c r="AF1009">
        <v>1636</v>
      </c>
      <c r="AG1009" t="s">
        <v>1870</v>
      </c>
      <c r="AH1009" t="s">
        <v>65</v>
      </c>
      <c r="AI1009" t="s">
        <v>65</v>
      </c>
      <c r="AJ1009" t="s">
        <v>66</v>
      </c>
      <c r="AK1009" t="s">
        <v>66</v>
      </c>
      <c r="AL1009" t="s">
        <v>66</v>
      </c>
      <c r="AM1009" s="2" t="str">
        <f>HYPERLINK("https://transparencia.cidesi.mx/comprobantes/2021/CQ2100705 /C2d1ca055f-777f-4628-94aa-c1101d4b62d0.pdf")</f>
        <v>https://transparencia.cidesi.mx/comprobantes/2021/CQ2100705 /C2d1ca055f-777f-4628-94aa-c1101d4b62d0.pdf</v>
      </c>
      <c r="AN1009" t="str">
        <f>HYPERLINK("https://transparencia.cidesi.mx/comprobantes/2021/CQ2100705 /C2d1ca055f-777f-4628-94aa-c1101d4b62d0.pdf")</f>
        <v>https://transparencia.cidesi.mx/comprobantes/2021/CQ2100705 /C2d1ca055f-777f-4628-94aa-c1101d4b62d0.pdf</v>
      </c>
      <c r="AO1009" t="str">
        <f>HYPERLINK("https://transparencia.cidesi.mx/comprobantes/2021/CQ2100705 /C2d1ca055f-777f-4628-94aa-c1101d4b62d0.xml")</f>
        <v>https://transparencia.cidesi.mx/comprobantes/2021/CQ2100705 /C2d1ca055f-777f-4628-94aa-c1101d4b62d0.xml</v>
      </c>
      <c r="AP1009" t="s">
        <v>1890</v>
      </c>
      <c r="AQ1009" t="s">
        <v>1891</v>
      </c>
      <c r="AR1009" t="s">
        <v>1891</v>
      </c>
      <c r="AS1009" t="s">
        <v>1890</v>
      </c>
      <c r="AT1009" s="1">
        <v>44438</v>
      </c>
      <c r="AU1009" s="1">
        <v>44442</v>
      </c>
    </row>
    <row r="1010" spans="1:47" x14ac:dyDescent="0.3">
      <c r="A1010" t="s">
        <v>47</v>
      </c>
      <c r="B1010" t="s">
        <v>48</v>
      </c>
      <c r="C1010" t="s">
        <v>392</v>
      </c>
      <c r="D1010">
        <v>9136</v>
      </c>
      <c r="E1010" t="s">
        <v>1866</v>
      </c>
      <c r="F1010" t="s">
        <v>352</v>
      </c>
      <c r="G1010" t="s">
        <v>912</v>
      </c>
      <c r="H1010" t="s">
        <v>1892</v>
      </c>
      <c r="I1010" t="s">
        <v>54</v>
      </c>
      <c r="J1010" t="s">
        <v>568</v>
      </c>
      <c r="K1010" t="s">
        <v>56</v>
      </c>
      <c r="L1010">
        <v>0</v>
      </c>
      <c r="M1010" t="s">
        <v>73</v>
      </c>
      <c r="N1010">
        <v>0</v>
      </c>
      <c r="O1010" t="s">
        <v>58</v>
      </c>
      <c r="P1010" t="s">
        <v>59</v>
      </c>
      <c r="Q1010" t="s">
        <v>60</v>
      </c>
      <c r="R1010" t="s">
        <v>568</v>
      </c>
      <c r="S1010" s="1">
        <v>44434</v>
      </c>
      <c r="T1010" s="1">
        <v>44434</v>
      </c>
      <c r="U1010">
        <v>37501</v>
      </c>
      <c r="V1010" t="s">
        <v>61</v>
      </c>
      <c r="W1010" t="s">
        <v>1893</v>
      </c>
      <c r="X1010" s="1">
        <v>44438</v>
      </c>
      <c r="Y1010" t="s">
        <v>63</v>
      </c>
      <c r="Z1010">
        <v>431.04</v>
      </c>
      <c r="AA1010">
        <v>16</v>
      </c>
      <c r="AB1010">
        <v>68.97</v>
      </c>
      <c r="AC1010">
        <v>0</v>
      </c>
      <c r="AD1010">
        <v>500.01</v>
      </c>
      <c r="AE1010">
        <v>500.01</v>
      </c>
      <c r="AF1010">
        <v>545</v>
      </c>
      <c r="AG1010" t="s">
        <v>1870</v>
      </c>
      <c r="AH1010" t="s">
        <v>65</v>
      </c>
      <c r="AI1010" t="s">
        <v>65</v>
      </c>
      <c r="AJ1010" t="s">
        <v>66</v>
      </c>
      <c r="AK1010" t="s">
        <v>66</v>
      </c>
      <c r="AL1010" t="s">
        <v>66</v>
      </c>
      <c r="AM1010" s="2" t="str">
        <f>HYPERLINK("https://transparencia.cidesi.mx/comprobantes/2021/CQ2100712 /C1Factura_A2322_CID840309UG7_27082021_120000.pdf")</f>
        <v>https://transparencia.cidesi.mx/comprobantes/2021/CQ2100712 /C1Factura_A2322_CID840309UG7_27082021_120000.pdf</v>
      </c>
      <c r="AN1010" t="str">
        <f>HYPERLINK("https://transparencia.cidesi.mx/comprobantes/2021/CQ2100712 /C1Factura_A2322_CID840309UG7_27082021_120000.pdf")</f>
        <v>https://transparencia.cidesi.mx/comprobantes/2021/CQ2100712 /C1Factura_A2322_CID840309UG7_27082021_120000.pdf</v>
      </c>
      <c r="AO1010" t="str">
        <f>HYPERLINK("https://transparencia.cidesi.mx/comprobantes/2021/CQ2100712 /C1Factura_A2322_CID840309UG7_27082021_120000.xml")</f>
        <v>https://transparencia.cidesi.mx/comprobantes/2021/CQ2100712 /C1Factura_A2322_CID840309UG7_27082021_120000.xml</v>
      </c>
      <c r="AP1010" t="s">
        <v>1894</v>
      </c>
      <c r="AQ1010" t="s">
        <v>1894</v>
      </c>
      <c r="AR1010" t="s">
        <v>1895</v>
      </c>
      <c r="AS1010" t="s">
        <v>1895</v>
      </c>
      <c r="AT1010" s="1">
        <v>44442</v>
      </c>
      <c r="AU1010" s="1">
        <v>44452</v>
      </c>
    </row>
    <row r="1011" spans="1:47" x14ac:dyDescent="0.3">
      <c r="A1011" t="s">
        <v>47</v>
      </c>
      <c r="B1011" t="s">
        <v>48</v>
      </c>
      <c r="C1011" t="s">
        <v>392</v>
      </c>
      <c r="D1011">
        <v>9136</v>
      </c>
      <c r="E1011" t="s">
        <v>1866</v>
      </c>
      <c r="F1011" t="s">
        <v>352</v>
      </c>
      <c r="G1011" t="s">
        <v>912</v>
      </c>
      <c r="H1011" t="s">
        <v>1896</v>
      </c>
      <c r="I1011" t="s">
        <v>54</v>
      </c>
      <c r="J1011" t="s">
        <v>1897</v>
      </c>
      <c r="K1011" t="s">
        <v>56</v>
      </c>
      <c r="L1011">
        <v>0</v>
      </c>
      <c r="M1011" t="s">
        <v>73</v>
      </c>
      <c r="N1011">
        <v>0</v>
      </c>
      <c r="O1011" t="s">
        <v>58</v>
      </c>
      <c r="P1011" t="s">
        <v>59</v>
      </c>
      <c r="Q1011" t="s">
        <v>1898</v>
      </c>
      <c r="R1011" t="s">
        <v>1897</v>
      </c>
      <c r="S1011" s="1">
        <v>44439</v>
      </c>
      <c r="T1011" s="1">
        <v>44444</v>
      </c>
      <c r="U1011">
        <v>37501</v>
      </c>
      <c r="V1011" t="s">
        <v>61</v>
      </c>
      <c r="W1011" t="s">
        <v>1899</v>
      </c>
      <c r="X1011" s="1">
        <v>44452</v>
      </c>
      <c r="Y1011" t="s">
        <v>63</v>
      </c>
      <c r="Z1011">
        <v>409.48</v>
      </c>
      <c r="AA1011">
        <v>16</v>
      </c>
      <c r="AB1011">
        <v>65.52</v>
      </c>
      <c r="AC1011">
        <v>0</v>
      </c>
      <c r="AD1011">
        <v>475</v>
      </c>
      <c r="AE1011">
        <v>5442.99</v>
      </c>
      <c r="AF1011">
        <v>6000</v>
      </c>
      <c r="AG1011" t="s">
        <v>1870</v>
      </c>
      <c r="AH1011" t="s">
        <v>65</v>
      </c>
      <c r="AI1011" t="s">
        <v>65</v>
      </c>
      <c r="AJ1011" t="s">
        <v>66</v>
      </c>
      <c r="AK1011" t="s">
        <v>66</v>
      </c>
      <c r="AL1011" t="s">
        <v>66</v>
      </c>
      <c r="AM1011" s="2" t="str">
        <f>HYPERLINK("https://transparencia.cidesi.mx/comprobantes/2021/CQ2100799 /C1FACTURA21AI971.pdf")</f>
        <v>https://transparencia.cidesi.mx/comprobantes/2021/CQ2100799 /C1FACTURA21AI971.pdf</v>
      </c>
      <c r="AN1011" t="str">
        <f>HYPERLINK("https://transparencia.cidesi.mx/comprobantes/2021/CQ2100799 /C1FACTURA21AI971.pdf")</f>
        <v>https://transparencia.cidesi.mx/comprobantes/2021/CQ2100799 /C1FACTURA21AI971.pdf</v>
      </c>
      <c r="AO1011" t="str">
        <f>HYPERLINK("https://transparencia.cidesi.mx/comprobantes/2021/CQ2100799 /C1FACTURA21AI971.xml")</f>
        <v>https://transparencia.cidesi.mx/comprobantes/2021/CQ2100799 /C1FACTURA21AI971.xml</v>
      </c>
      <c r="AP1011" t="s">
        <v>1900</v>
      </c>
      <c r="AQ1011" t="s">
        <v>1900</v>
      </c>
      <c r="AR1011" t="s">
        <v>1900</v>
      </c>
      <c r="AS1011" t="s">
        <v>1900</v>
      </c>
      <c r="AT1011" s="1">
        <v>44452</v>
      </c>
      <c r="AU1011" s="1">
        <v>44470</v>
      </c>
    </row>
    <row r="1012" spans="1:47" x14ac:dyDescent="0.3">
      <c r="A1012" t="s">
        <v>47</v>
      </c>
      <c r="B1012" t="s">
        <v>48</v>
      </c>
      <c r="C1012" t="s">
        <v>392</v>
      </c>
      <c r="D1012">
        <v>9136</v>
      </c>
      <c r="E1012" t="s">
        <v>1866</v>
      </c>
      <c r="F1012" t="s">
        <v>352</v>
      </c>
      <c r="G1012" t="s">
        <v>912</v>
      </c>
      <c r="H1012" t="s">
        <v>1896</v>
      </c>
      <c r="I1012" t="s">
        <v>54</v>
      </c>
      <c r="J1012" t="s">
        <v>1897</v>
      </c>
      <c r="K1012" t="s">
        <v>56</v>
      </c>
      <c r="L1012">
        <v>0</v>
      </c>
      <c r="M1012" t="s">
        <v>73</v>
      </c>
      <c r="N1012">
        <v>0</v>
      </c>
      <c r="O1012" t="s">
        <v>58</v>
      </c>
      <c r="P1012" t="s">
        <v>59</v>
      </c>
      <c r="Q1012" t="s">
        <v>1898</v>
      </c>
      <c r="R1012" t="s">
        <v>1897</v>
      </c>
      <c r="S1012" s="1">
        <v>44439</v>
      </c>
      <c r="T1012" s="1">
        <v>44444</v>
      </c>
      <c r="U1012">
        <v>37501</v>
      </c>
      <c r="V1012" t="s">
        <v>61</v>
      </c>
      <c r="W1012" t="s">
        <v>1899</v>
      </c>
      <c r="X1012" s="1">
        <v>44452</v>
      </c>
      <c r="Y1012" t="s">
        <v>63</v>
      </c>
      <c r="Z1012">
        <v>148.28</v>
      </c>
      <c r="AA1012">
        <v>16</v>
      </c>
      <c r="AB1012">
        <v>23.72</v>
      </c>
      <c r="AC1012">
        <v>0</v>
      </c>
      <c r="AD1012">
        <v>172</v>
      </c>
      <c r="AE1012">
        <v>5442.99</v>
      </c>
      <c r="AF1012">
        <v>6000</v>
      </c>
      <c r="AG1012" t="s">
        <v>1870</v>
      </c>
      <c r="AH1012" t="s">
        <v>65</v>
      </c>
      <c r="AI1012" t="s">
        <v>65</v>
      </c>
      <c r="AJ1012" t="s">
        <v>66</v>
      </c>
      <c r="AK1012" t="s">
        <v>66</v>
      </c>
      <c r="AL1012" t="s">
        <v>66</v>
      </c>
      <c r="AM1012" s="2" t="str">
        <f>HYPERLINK("https://transparencia.cidesi.mx/comprobantes/2021/CQ2100799 /C2ced71e14-92a5-4752-bee6-9a52c1e0de2c.xml")</f>
        <v>https://transparencia.cidesi.mx/comprobantes/2021/CQ2100799 /C2ced71e14-92a5-4752-bee6-9a52c1e0de2c.xml</v>
      </c>
      <c r="AN1012" t="str">
        <f>HYPERLINK("https://transparencia.cidesi.mx/comprobantes/2021/CQ2100799 /C2ced71e14-92a5-4752-bee6-9a52c1e0de2c.xml")</f>
        <v>https://transparencia.cidesi.mx/comprobantes/2021/CQ2100799 /C2ced71e14-92a5-4752-bee6-9a52c1e0de2c.xml</v>
      </c>
      <c r="AO1012" t="str">
        <f>HYPERLINK("https://transparencia.cidesi.mx/comprobantes/2021/CQ2100799 /C2ced71e14-92a5-4752-bee6-9a52c1e0de2c.xml")</f>
        <v>https://transparencia.cidesi.mx/comprobantes/2021/CQ2100799 /C2ced71e14-92a5-4752-bee6-9a52c1e0de2c.xml</v>
      </c>
      <c r="AP1012" t="s">
        <v>1900</v>
      </c>
      <c r="AQ1012" t="s">
        <v>1900</v>
      </c>
      <c r="AR1012" t="s">
        <v>1900</v>
      </c>
      <c r="AS1012" t="s">
        <v>1900</v>
      </c>
      <c r="AT1012" s="1">
        <v>44452</v>
      </c>
      <c r="AU1012" s="1">
        <v>44470</v>
      </c>
    </row>
    <row r="1013" spans="1:47" x14ac:dyDescent="0.3">
      <c r="A1013" t="s">
        <v>47</v>
      </c>
      <c r="B1013" t="s">
        <v>48</v>
      </c>
      <c r="C1013" t="s">
        <v>392</v>
      </c>
      <c r="D1013">
        <v>9136</v>
      </c>
      <c r="E1013" t="s">
        <v>1866</v>
      </c>
      <c r="F1013" t="s">
        <v>352</v>
      </c>
      <c r="G1013" t="s">
        <v>912</v>
      </c>
      <c r="H1013" t="s">
        <v>1896</v>
      </c>
      <c r="I1013" t="s">
        <v>54</v>
      </c>
      <c r="J1013" t="s">
        <v>1897</v>
      </c>
      <c r="K1013" t="s">
        <v>56</v>
      </c>
      <c r="L1013">
        <v>0</v>
      </c>
      <c r="M1013" t="s">
        <v>73</v>
      </c>
      <c r="N1013">
        <v>0</v>
      </c>
      <c r="O1013" t="s">
        <v>58</v>
      </c>
      <c r="P1013" t="s">
        <v>59</v>
      </c>
      <c r="Q1013" t="s">
        <v>1898</v>
      </c>
      <c r="R1013" t="s">
        <v>1897</v>
      </c>
      <c r="S1013" s="1">
        <v>44439</v>
      </c>
      <c r="T1013" s="1">
        <v>44444</v>
      </c>
      <c r="U1013">
        <v>37501</v>
      </c>
      <c r="V1013" t="s">
        <v>61</v>
      </c>
      <c r="W1013" t="s">
        <v>1899</v>
      </c>
      <c r="X1013" s="1">
        <v>44452</v>
      </c>
      <c r="Y1013" t="s">
        <v>63</v>
      </c>
      <c r="Z1013">
        <v>471.63</v>
      </c>
      <c r="AA1013">
        <v>16</v>
      </c>
      <c r="AB1013">
        <v>75.459999999999994</v>
      </c>
      <c r="AC1013">
        <v>0</v>
      </c>
      <c r="AD1013">
        <v>547.09</v>
      </c>
      <c r="AE1013">
        <v>5442.99</v>
      </c>
      <c r="AF1013">
        <v>6000</v>
      </c>
      <c r="AG1013" t="s">
        <v>1870</v>
      </c>
      <c r="AH1013" t="s">
        <v>65</v>
      </c>
      <c r="AI1013" t="s">
        <v>65</v>
      </c>
      <c r="AJ1013" t="s">
        <v>66</v>
      </c>
      <c r="AK1013" t="s">
        <v>66</v>
      </c>
      <c r="AL1013" t="s">
        <v>66</v>
      </c>
      <c r="AM1013" s="2" t="str">
        <f>HYPERLINK("https://transparencia.cidesi.mx/comprobantes/2021/CQ2100799 /C3RLI930128AI5CFDI-563858.xml")</f>
        <v>https://transparencia.cidesi.mx/comprobantes/2021/CQ2100799 /C3RLI930128AI5CFDI-563858.xml</v>
      </c>
      <c r="AN1013" t="str">
        <f>HYPERLINK("https://transparencia.cidesi.mx/comprobantes/2021/CQ2100799 /C3RLI930128AI5CFDI-563858.xml")</f>
        <v>https://transparencia.cidesi.mx/comprobantes/2021/CQ2100799 /C3RLI930128AI5CFDI-563858.xml</v>
      </c>
      <c r="AO1013" t="str">
        <f>HYPERLINK("https://transparencia.cidesi.mx/comprobantes/2021/CQ2100799 /C3RLI930128AI5CFDI-563858.xml")</f>
        <v>https://transparencia.cidesi.mx/comprobantes/2021/CQ2100799 /C3RLI930128AI5CFDI-563858.xml</v>
      </c>
      <c r="AP1013" t="s">
        <v>1900</v>
      </c>
      <c r="AQ1013" t="s">
        <v>1900</v>
      </c>
      <c r="AR1013" t="s">
        <v>1900</v>
      </c>
      <c r="AS1013" t="s">
        <v>1900</v>
      </c>
      <c r="AT1013" s="1">
        <v>44452</v>
      </c>
      <c r="AU1013" s="1">
        <v>44470</v>
      </c>
    </row>
    <row r="1014" spans="1:47" x14ac:dyDescent="0.3">
      <c r="A1014" t="s">
        <v>47</v>
      </c>
      <c r="B1014" t="s">
        <v>48</v>
      </c>
      <c r="C1014" t="s">
        <v>392</v>
      </c>
      <c r="D1014">
        <v>9136</v>
      </c>
      <c r="E1014" t="s">
        <v>1866</v>
      </c>
      <c r="F1014" t="s">
        <v>352</v>
      </c>
      <c r="G1014" t="s">
        <v>912</v>
      </c>
      <c r="H1014" t="s">
        <v>1896</v>
      </c>
      <c r="I1014" t="s">
        <v>54</v>
      </c>
      <c r="J1014" t="s">
        <v>1897</v>
      </c>
      <c r="K1014" t="s">
        <v>56</v>
      </c>
      <c r="L1014">
        <v>0</v>
      </c>
      <c r="M1014" t="s">
        <v>73</v>
      </c>
      <c r="N1014">
        <v>0</v>
      </c>
      <c r="O1014" t="s">
        <v>58</v>
      </c>
      <c r="P1014" t="s">
        <v>59</v>
      </c>
      <c r="Q1014" t="s">
        <v>1898</v>
      </c>
      <c r="R1014" t="s">
        <v>1897</v>
      </c>
      <c r="S1014" s="1">
        <v>44439</v>
      </c>
      <c r="T1014" s="1">
        <v>44444</v>
      </c>
      <c r="U1014">
        <v>37501</v>
      </c>
      <c r="V1014" t="s">
        <v>61</v>
      </c>
      <c r="W1014" t="s">
        <v>1899</v>
      </c>
      <c r="X1014" s="1">
        <v>44452</v>
      </c>
      <c r="Y1014" t="s">
        <v>63</v>
      </c>
      <c r="Z1014">
        <v>378.45</v>
      </c>
      <c r="AA1014">
        <v>16</v>
      </c>
      <c r="AB1014">
        <v>60.55</v>
      </c>
      <c r="AC1014">
        <v>0</v>
      </c>
      <c r="AD1014">
        <v>439</v>
      </c>
      <c r="AE1014">
        <v>5442.99</v>
      </c>
      <c r="AF1014">
        <v>6000</v>
      </c>
      <c r="AG1014" t="s">
        <v>1870</v>
      </c>
      <c r="AH1014" t="s">
        <v>65</v>
      </c>
      <c r="AI1014" t="s">
        <v>65</v>
      </c>
      <c r="AJ1014" t="s">
        <v>66</v>
      </c>
      <c r="AK1014" t="s">
        <v>66</v>
      </c>
      <c r="AL1014" t="s">
        <v>66</v>
      </c>
      <c r="AM1014" s="2" t="str">
        <f>HYPERLINK("https://transparencia.cidesi.mx/comprobantes/2021/CQ2100799 /C4FD0000001598.xml")</f>
        <v>https://transparencia.cidesi.mx/comprobantes/2021/CQ2100799 /C4FD0000001598.xml</v>
      </c>
      <c r="AN1014" t="str">
        <f>HYPERLINK("https://transparencia.cidesi.mx/comprobantes/2021/CQ2100799 /C4FD0000001598.xml")</f>
        <v>https://transparencia.cidesi.mx/comprobantes/2021/CQ2100799 /C4FD0000001598.xml</v>
      </c>
      <c r="AO1014" t="str">
        <f>HYPERLINK("https://transparencia.cidesi.mx/comprobantes/2021/CQ2100799 /C4FD0000001598.xml")</f>
        <v>https://transparencia.cidesi.mx/comprobantes/2021/CQ2100799 /C4FD0000001598.xml</v>
      </c>
      <c r="AP1014" t="s">
        <v>1900</v>
      </c>
      <c r="AQ1014" t="s">
        <v>1900</v>
      </c>
      <c r="AR1014" t="s">
        <v>1900</v>
      </c>
      <c r="AS1014" t="s">
        <v>1900</v>
      </c>
      <c r="AT1014" s="1">
        <v>44452</v>
      </c>
      <c r="AU1014" s="1">
        <v>44470</v>
      </c>
    </row>
    <row r="1015" spans="1:47" x14ac:dyDescent="0.3">
      <c r="A1015" t="s">
        <v>47</v>
      </c>
      <c r="B1015" t="s">
        <v>48</v>
      </c>
      <c r="C1015" t="s">
        <v>392</v>
      </c>
      <c r="D1015">
        <v>9136</v>
      </c>
      <c r="E1015" t="s">
        <v>1866</v>
      </c>
      <c r="F1015" t="s">
        <v>352</v>
      </c>
      <c r="G1015" t="s">
        <v>912</v>
      </c>
      <c r="H1015" t="s">
        <v>1896</v>
      </c>
      <c r="I1015" t="s">
        <v>54</v>
      </c>
      <c r="J1015" t="s">
        <v>1897</v>
      </c>
      <c r="K1015" t="s">
        <v>56</v>
      </c>
      <c r="L1015">
        <v>0</v>
      </c>
      <c r="M1015" t="s">
        <v>73</v>
      </c>
      <c r="N1015">
        <v>0</v>
      </c>
      <c r="O1015" t="s">
        <v>58</v>
      </c>
      <c r="P1015" t="s">
        <v>59</v>
      </c>
      <c r="Q1015" t="s">
        <v>1898</v>
      </c>
      <c r="R1015" t="s">
        <v>1897</v>
      </c>
      <c r="S1015" s="1">
        <v>44439</v>
      </c>
      <c r="T1015" s="1">
        <v>44444</v>
      </c>
      <c r="U1015">
        <v>37501</v>
      </c>
      <c r="V1015" t="s">
        <v>104</v>
      </c>
      <c r="W1015" t="s">
        <v>1899</v>
      </c>
      <c r="X1015" s="1">
        <v>44452</v>
      </c>
      <c r="Y1015" t="s">
        <v>63</v>
      </c>
      <c r="Z1015">
        <v>1038.6600000000001</v>
      </c>
      <c r="AA1015">
        <v>16</v>
      </c>
      <c r="AB1015">
        <v>161.34</v>
      </c>
      <c r="AC1015">
        <v>0</v>
      </c>
      <c r="AD1015">
        <v>1200</v>
      </c>
      <c r="AE1015">
        <v>5442.99</v>
      </c>
      <c r="AF1015">
        <v>6000</v>
      </c>
      <c r="AG1015" t="s">
        <v>1874</v>
      </c>
      <c r="AH1015" t="s">
        <v>65</v>
      </c>
      <c r="AI1015" t="s">
        <v>65</v>
      </c>
      <c r="AJ1015" t="s">
        <v>66</v>
      </c>
      <c r="AK1015" t="s">
        <v>66</v>
      </c>
      <c r="AL1015" t="s">
        <v>66</v>
      </c>
      <c r="AM1015" s="2" t="str">
        <f>HYPERLINK("https://transparencia.cidesi.mx/comprobantes/2021/CQ2100799 /C5SRO030528FH0_HI_1741_CID840309UG7.xml")</f>
        <v>https://transparencia.cidesi.mx/comprobantes/2021/CQ2100799 /C5SRO030528FH0_HI_1741_CID840309UG7.xml</v>
      </c>
      <c r="AN1015" t="str">
        <f>HYPERLINK("https://transparencia.cidesi.mx/comprobantes/2021/CQ2100799 /C5SRO030528FH0_HI_1741_CID840309UG7.xml")</f>
        <v>https://transparencia.cidesi.mx/comprobantes/2021/CQ2100799 /C5SRO030528FH0_HI_1741_CID840309UG7.xml</v>
      </c>
      <c r="AO1015" t="str">
        <f>HYPERLINK("https://transparencia.cidesi.mx/comprobantes/2021/CQ2100799 /C5SRO030528FH0_HI_1741_CID840309UG7.xml")</f>
        <v>https://transparencia.cidesi.mx/comprobantes/2021/CQ2100799 /C5SRO030528FH0_HI_1741_CID840309UG7.xml</v>
      </c>
      <c r="AP1015" t="s">
        <v>1900</v>
      </c>
      <c r="AQ1015" t="s">
        <v>1900</v>
      </c>
      <c r="AR1015" t="s">
        <v>1900</v>
      </c>
      <c r="AS1015" t="s">
        <v>1900</v>
      </c>
      <c r="AT1015" s="1">
        <v>44452</v>
      </c>
      <c r="AU1015" s="1">
        <v>44470</v>
      </c>
    </row>
    <row r="1016" spans="1:47" x14ac:dyDescent="0.3">
      <c r="A1016" t="s">
        <v>47</v>
      </c>
      <c r="B1016" t="s">
        <v>48</v>
      </c>
      <c r="C1016" t="s">
        <v>392</v>
      </c>
      <c r="D1016">
        <v>9136</v>
      </c>
      <c r="E1016" t="s">
        <v>1866</v>
      </c>
      <c r="F1016" t="s">
        <v>352</v>
      </c>
      <c r="G1016" t="s">
        <v>912</v>
      </c>
      <c r="H1016" t="s">
        <v>1896</v>
      </c>
      <c r="I1016" t="s">
        <v>54</v>
      </c>
      <c r="J1016" t="s">
        <v>1897</v>
      </c>
      <c r="K1016" t="s">
        <v>56</v>
      </c>
      <c r="L1016">
        <v>0</v>
      </c>
      <c r="M1016" t="s">
        <v>73</v>
      </c>
      <c r="N1016">
        <v>0</v>
      </c>
      <c r="O1016" t="s">
        <v>58</v>
      </c>
      <c r="P1016" t="s">
        <v>59</v>
      </c>
      <c r="Q1016" t="s">
        <v>1898</v>
      </c>
      <c r="R1016" t="s">
        <v>1897</v>
      </c>
      <c r="S1016" s="1">
        <v>44439</v>
      </c>
      <c r="T1016" s="1">
        <v>44444</v>
      </c>
      <c r="U1016">
        <v>37501</v>
      </c>
      <c r="V1016" t="s">
        <v>104</v>
      </c>
      <c r="W1016" t="s">
        <v>1899</v>
      </c>
      <c r="X1016" s="1">
        <v>44452</v>
      </c>
      <c r="Y1016" t="s">
        <v>63</v>
      </c>
      <c r="Z1016">
        <v>1038.6600000000001</v>
      </c>
      <c r="AA1016">
        <v>16</v>
      </c>
      <c r="AB1016">
        <v>161.34</v>
      </c>
      <c r="AC1016">
        <v>0</v>
      </c>
      <c r="AD1016">
        <v>1200</v>
      </c>
      <c r="AE1016">
        <v>5442.99</v>
      </c>
      <c r="AF1016">
        <v>6000</v>
      </c>
      <c r="AG1016" t="s">
        <v>1874</v>
      </c>
      <c r="AH1016" t="s">
        <v>65</v>
      </c>
      <c r="AI1016" t="s">
        <v>65</v>
      </c>
      <c r="AJ1016" t="s">
        <v>66</v>
      </c>
      <c r="AK1016" t="s">
        <v>66</v>
      </c>
      <c r="AL1016" t="s">
        <v>66</v>
      </c>
      <c r="AM1016" s="2" t="str">
        <f>HYPERLINK("https://transparencia.cidesi.mx/comprobantes/2021/CQ2100799 /C6HI1740.pdf")</f>
        <v>https://transparencia.cidesi.mx/comprobantes/2021/CQ2100799 /C6HI1740.pdf</v>
      </c>
      <c r="AN1016" t="str">
        <f>HYPERLINK("https://transparencia.cidesi.mx/comprobantes/2021/CQ2100799 /C6HI1740.pdf")</f>
        <v>https://transparencia.cidesi.mx/comprobantes/2021/CQ2100799 /C6HI1740.pdf</v>
      </c>
      <c r="AO1016" t="str">
        <f>HYPERLINK("https://transparencia.cidesi.mx/comprobantes/2021/CQ2100799 /C6SRO030528FH0_HI_1740_CID840309UG7.xml")</f>
        <v>https://transparencia.cidesi.mx/comprobantes/2021/CQ2100799 /C6SRO030528FH0_HI_1740_CID840309UG7.xml</v>
      </c>
      <c r="AP1016" t="s">
        <v>1900</v>
      </c>
      <c r="AQ1016" t="s">
        <v>1900</v>
      </c>
      <c r="AR1016" t="s">
        <v>1900</v>
      </c>
      <c r="AS1016" t="s">
        <v>1900</v>
      </c>
      <c r="AT1016" s="1">
        <v>44452</v>
      </c>
      <c r="AU1016" s="1">
        <v>44470</v>
      </c>
    </row>
    <row r="1017" spans="1:47" x14ac:dyDescent="0.3">
      <c r="A1017" t="s">
        <v>47</v>
      </c>
      <c r="B1017" t="s">
        <v>48</v>
      </c>
      <c r="C1017" t="s">
        <v>392</v>
      </c>
      <c r="D1017">
        <v>9136</v>
      </c>
      <c r="E1017" t="s">
        <v>1866</v>
      </c>
      <c r="F1017" t="s">
        <v>352</v>
      </c>
      <c r="G1017" t="s">
        <v>912</v>
      </c>
      <c r="H1017" t="s">
        <v>1896</v>
      </c>
      <c r="I1017" t="s">
        <v>54</v>
      </c>
      <c r="J1017" t="s">
        <v>1897</v>
      </c>
      <c r="K1017" t="s">
        <v>56</v>
      </c>
      <c r="L1017">
        <v>0</v>
      </c>
      <c r="M1017" t="s">
        <v>73</v>
      </c>
      <c r="N1017">
        <v>0</v>
      </c>
      <c r="O1017" t="s">
        <v>58</v>
      </c>
      <c r="P1017" t="s">
        <v>59</v>
      </c>
      <c r="Q1017" t="s">
        <v>1898</v>
      </c>
      <c r="R1017" t="s">
        <v>1897</v>
      </c>
      <c r="S1017" s="1">
        <v>44439</v>
      </c>
      <c r="T1017" s="1">
        <v>44444</v>
      </c>
      <c r="U1017">
        <v>37501</v>
      </c>
      <c r="V1017" t="s">
        <v>61</v>
      </c>
      <c r="W1017" t="s">
        <v>1899</v>
      </c>
      <c r="X1017" s="1">
        <v>44452</v>
      </c>
      <c r="Y1017" t="s">
        <v>63</v>
      </c>
      <c r="Z1017">
        <v>143.81</v>
      </c>
      <c r="AA1017">
        <v>16</v>
      </c>
      <c r="AB1017">
        <v>6.69</v>
      </c>
      <c r="AC1017">
        <v>0</v>
      </c>
      <c r="AD1017">
        <v>150.5</v>
      </c>
      <c r="AE1017">
        <v>5442.99</v>
      </c>
      <c r="AF1017">
        <v>6000</v>
      </c>
      <c r="AG1017" t="s">
        <v>1870</v>
      </c>
      <c r="AH1017" t="s">
        <v>65</v>
      </c>
      <c r="AI1017" t="s">
        <v>65</v>
      </c>
      <c r="AJ1017" t="s">
        <v>66</v>
      </c>
      <c r="AK1017" t="s">
        <v>66</v>
      </c>
      <c r="AL1017" t="s">
        <v>66</v>
      </c>
      <c r="AM1017" s="2" t="str">
        <f>HYPERLINK("https://transparencia.cidesi.mx/comprobantes/2021/CQ2100799 /C7FACTURA_1631566401530_344613079.xml")</f>
        <v>https://transparencia.cidesi.mx/comprobantes/2021/CQ2100799 /C7FACTURA_1631566401530_344613079.xml</v>
      </c>
      <c r="AN1017" t="str">
        <f>HYPERLINK("https://transparencia.cidesi.mx/comprobantes/2021/CQ2100799 /C7FACTURA_1631566401530_344613079.xml")</f>
        <v>https://transparencia.cidesi.mx/comprobantes/2021/CQ2100799 /C7FACTURA_1631566401530_344613079.xml</v>
      </c>
      <c r="AO1017" t="str">
        <f>HYPERLINK("https://transparencia.cidesi.mx/comprobantes/2021/CQ2100799 /C7FACTURA_1631566401530_344613079.xml")</f>
        <v>https://transparencia.cidesi.mx/comprobantes/2021/CQ2100799 /C7FACTURA_1631566401530_344613079.xml</v>
      </c>
      <c r="AP1017" t="s">
        <v>1900</v>
      </c>
      <c r="AQ1017" t="s">
        <v>1900</v>
      </c>
      <c r="AR1017" t="s">
        <v>1900</v>
      </c>
      <c r="AS1017" t="s">
        <v>1900</v>
      </c>
      <c r="AT1017" s="1">
        <v>44452</v>
      </c>
      <c r="AU1017" s="1">
        <v>44470</v>
      </c>
    </row>
    <row r="1018" spans="1:47" x14ac:dyDescent="0.3">
      <c r="A1018" t="s">
        <v>47</v>
      </c>
      <c r="B1018" t="s">
        <v>48</v>
      </c>
      <c r="C1018" t="s">
        <v>392</v>
      </c>
      <c r="D1018">
        <v>9136</v>
      </c>
      <c r="E1018" t="s">
        <v>1866</v>
      </c>
      <c r="F1018" t="s">
        <v>352</v>
      </c>
      <c r="G1018" t="s">
        <v>912</v>
      </c>
      <c r="H1018" t="s">
        <v>1896</v>
      </c>
      <c r="I1018" t="s">
        <v>54</v>
      </c>
      <c r="J1018" t="s">
        <v>1897</v>
      </c>
      <c r="K1018" t="s">
        <v>56</v>
      </c>
      <c r="L1018">
        <v>0</v>
      </c>
      <c r="M1018" t="s">
        <v>73</v>
      </c>
      <c r="N1018">
        <v>0</v>
      </c>
      <c r="O1018" t="s">
        <v>58</v>
      </c>
      <c r="P1018" t="s">
        <v>59</v>
      </c>
      <c r="Q1018" t="s">
        <v>1898</v>
      </c>
      <c r="R1018" t="s">
        <v>1897</v>
      </c>
      <c r="S1018" s="1">
        <v>44439</v>
      </c>
      <c r="T1018" s="1">
        <v>44444</v>
      </c>
      <c r="U1018">
        <v>37501</v>
      </c>
      <c r="V1018" t="s">
        <v>61</v>
      </c>
      <c r="W1018" t="s">
        <v>1899</v>
      </c>
      <c r="X1018" s="1">
        <v>44452</v>
      </c>
      <c r="Y1018" t="s">
        <v>63</v>
      </c>
      <c r="Z1018">
        <v>127.88</v>
      </c>
      <c r="AA1018">
        <v>16</v>
      </c>
      <c r="AB1018">
        <v>4.62</v>
      </c>
      <c r="AC1018">
        <v>0</v>
      </c>
      <c r="AD1018">
        <v>132.5</v>
      </c>
      <c r="AE1018">
        <v>5442.99</v>
      </c>
      <c r="AF1018">
        <v>6000</v>
      </c>
      <c r="AG1018" t="s">
        <v>1870</v>
      </c>
      <c r="AH1018" t="s">
        <v>65</v>
      </c>
      <c r="AI1018" t="s">
        <v>65</v>
      </c>
      <c r="AJ1018" t="s">
        <v>66</v>
      </c>
      <c r="AK1018" t="s">
        <v>66</v>
      </c>
      <c r="AL1018" t="s">
        <v>66</v>
      </c>
      <c r="AM1018" s="2" t="str">
        <f>HYPERLINK("https://transparencia.cidesi.mx/comprobantes/2021/CQ2100799 /C8FACTURA_1631566595481_344613423.xml")</f>
        <v>https://transparencia.cidesi.mx/comprobantes/2021/CQ2100799 /C8FACTURA_1631566595481_344613423.xml</v>
      </c>
      <c r="AN1018" t="str">
        <f>HYPERLINK("https://transparencia.cidesi.mx/comprobantes/2021/CQ2100799 /C8FACTURA_1631566595481_344613423.xml")</f>
        <v>https://transparencia.cidesi.mx/comprobantes/2021/CQ2100799 /C8FACTURA_1631566595481_344613423.xml</v>
      </c>
      <c r="AO1018" t="str">
        <f>HYPERLINK("https://transparencia.cidesi.mx/comprobantes/2021/CQ2100799 /C8FACTURA_1631566595481_344613423.xml")</f>
        <v>https://transparencia.cidesi.mx/comprobantes/2021/CQ2100799 /C8FACTURA_1631566595481_344613423.xml</v>
      </c>
      <c r="AP1018" t="s">
        <v>1900</v>
      </c>
      <c r="AQ1018" t="s">
        <v>1900</v>
      </c>
      <c r="AR1018" t="s">
        <v>1900</v>
      </c>
      <c r="AS1018" t="s">
        <v>1900</v>
      </c>
      <c r="AT1018" s="1">
        <v>44452</v>
      </c>
      <c r="AU1018" s="1">
        <v>44470</v>
      </c>
    </row>
    <row r="1019" spans="1:47" x14ac:dyDescent="0.3">
      <c r="A1019" t="s">
        <v>47</v>
      </c>
      <c r="B1019" t="s">
        <v>48</v>
      </c>
      <c r="C1019" t="s">
        <v>392</v>
      </c>
      <c r="D1019">
        <v>9136</v>
      </c>
      <c r="E1019" t="s">
        <v>1866</v>
      </c>
      <c r="F1019" t="s">
        <v>352</v>
      </c>
      <c r="G1019" t="s">
        <v>912</v>
      </c>
      <c r="H1019" t="s">
        <v>1896</v>
      </c>
      <c r="I1019" t="s">
        <v>54</v>
      </c>
      <c r="J1019" t="s">
        <v>1897</v>
      </c>
      <c r="K1019" t="s">
        <v>56</v>
      </c>
      <c r="L1019">
        <v>0</v>
      </c>
      <c r="M1019" t="s">
        <v>73</v>
      </c>
      <c r="N1019">
        <v>0</v>
      </c>
      <c r="O1019" t="s">
        <v>58</v>
      </c>
      <c r="P1019" t="s">
        <v>59</v>
      </c>
      <c r="Q1019" t="s">
        <v>1898</v>
      </c>
      <c r="R1019" t="s">
        <v>1897</v>
      </c>
      <c r="S1019" s="1">
        <v>44439</v>
      </c>
      <c r="T1019" s="1">
        <v>44444</v>
      </c>
      <c r="U1019">
        <v>37501</v>
      </c>
      <c r="V1019" t="s">
        <v>61</v>
      </c>
      <c r="W1019" t="s">
        <v>1899</v>
      </c>
      <c r="X1019" s="1">
        <v>44452</v>
      </c>
      <c r="Y1019" t="s">
        <v>63</v>
      </c>
      <c r="Z1019">
        <v>212.82</v>
      </c>
      <c r="AA1019">
        <v>16</v>
      </c>
      <c r="AB1019">
        <v>9.58</v>
      </c>
      <c r="AC1019">
        <v>0</v>
      </c>
      <c r="AD1019">
        <v>222.4</v>
      </c>
      <c r="AE1019">
        <v>5442.99</v>
      </c>
      <c r="AF1019">
        <v>6000</v>
      </c>
      <c r="AG1019" t="s">
        <v>1870</v>
      </c>
      <c r="AH1019" t="s">
        <v>65</v>
      </c>
      <c r="AI1019" t="s">
        <v>65</v>
      </c>
      <c r="AJ1019" t="s">
        <v>66</v>
      </c>
      <c r="AK1019" t="s">
        <v>66</v>
      </c>
      <c r="AL1019" t="s">
        <v>66</v>
      </c>
      <c r="AM1019" s="2" t="str">
        <f>HYPERLINK("https://transparencia.cidesi.mx/comprobantes/2021/CQ2100799 /C9FACTURA_1631566808201_344613839.xml")</f>
        <v>https://transparencia.cidesi.mx/comprobantes/2021/CQ2100799 /C9FACTURA_1631566808201_344613839.xml</v>
      </c>
      <c r="AN1019" t="str">
        <f>HYPERLINK("https://transparencia.cidesi.mx/comprobantes/2021/CQ2100799 /C9FACTURA_1631566808201_344613839.xml")</f>
        <v>https://transparencia.cidesi.mx/comprobantes/2021/CQ2100799 /C9FACTURA_1631566808201_344613839.xml</v>
      </c>
      <c r="AO1019" t="str">
        <f>HYPERLINK("https://transparencia.cidesi.mx/comprobantes/2021/CQ2100799 /C9FACTURA_1631566808201_344613839.xml")</f>
        <v>https://transparencia.cidesi.mx/comprobantes/2021/CQ2100799 /C9FACTURA_1631566808201_344613839.xml</v>
      </c>
      <c r="AP1019" t="s">
        <v>1900</v>
      </c>
      <c r="AQ1019" t="s">
        <v>1900</v>
      </c>
      <c r="AR1019" t="s">
        <v>1900</v>
      </c>
      <c r="AS1019" t="s">
        <v>1900</v>
      </c>
      <c r="AT1019" s="1">
        <v>44452</v>
      </c>
      <c r="AU1019" s="1">
        <v>44470</v>
      </c>
    </row>
    <row r="1020" spans="1:47" x14ac:dyDescent="0.3">
      <c r="A1020" t="s">
        <v>47</v>
      </c>
      <c r="B1020" t="s">
        <v>48</v>
      </c>
      <c r="C1020" t="s">
        <v>392</v>
      </c>
      <c r="D1020">
        <v>9136</v>
      </c>
      <c r="E1020" t="s">
        <v>1866</v>
      </c>
      <c r="F1020" t="s">
        <v>352</v>
      </c>
      <c r="G1020" t="s">
        <v>912</v>
      </c>
      <c r="H1020" t="s">
        <v>1896</v>
      </c>
      <c r="I1020" t="s">
        <v>54</v>
      </c>
      <c r="J1020" t="s">
        <v>1897</v>
      </c>
      <c r="K1020" t="s">
        <v>56</v>
      </c>
      <c r="L1020">
        <v>0</v>
      </c>
      <c r="M1020" t="s">
        <v>73</v>
      </c>
      <c r="N1020">
        <v>0</v>
      </c>
      <c r="O1020" t="s">
        <v>58</v>
      </c>
      <c r="P1020" t="s">
        <v>59</v>
      </c>
      <c r="Q1020" t="s">
        <v>1898</v>
      </c>
      <c r="R1020" t="s">
        <v>1897</v>
      </c>
      <c r="S1020" s="1">
        <v>44439</v>
      </c>
      <c r="T1020" s="1">
        <v>44444</v>
      </c>
      <c r="U1020">
        <v>37501</v>
      </c>
      <c r="V1020" t="s">
        <v>61</v>
      </c>
      <c r="W1020" t="s">
        <v>1899</v>
      </c>
      <c r="X1020" s="1">
        <v>44452</v>
      </c>
      <c r="Y1020" t="s">
        <v>63</v>
      </c>
      <c r="Z1020">
        <v>322.41000000000003</v>
      </c>
      <c r="AA1020">
        <v>8</v>
      </c>
      <c r="AB1020">
        <v>20.09</v>
      </c>
      <c r="AC1020">
        <v>0</v>
      </c>
      <c r="AD1020">
        <v>342.5</v>
      </c>
      <c r="AE1020">
        <v>5442.99</v>
      </c>
      <c r="AF1020">
        <v>6000</v>
      </c>
      <c r="AG1020" t="s">
        <v>1870</v>
      </c>
      <c r="AH1020" t="s">
        <v>65</v>
      </c>
      <c r="AI1020" t="s">
        <v>65</v>
      </c>
      <c r="AJ1020" t="s">
        <v>66</v>
      </c>
      <c r="AK1020" t="s">
        <v>66</v>
      </c>
      <c r="AL1020" t="s">
        <v>66</v>
      </c>
      <c r="AM1020" s="2" t="str">
        <f>HYPERLINK("https://transparencia.cidesi.mx/comprobantes/2021/CQ2100799 /C10FACTURA_1631567086700_344615231.xml")</f>
        <v>https://transparencia.cidesi.mx/comprobantes/2021/CQ2100799 /C10FACTURA_1631567086700_344615231.xml</v>
      </c>
      <c r="AN1020" t="str">
        <f>HYPERLINK("https://transparencia.cidesi.mx/comprobantes/2021/CQ2100799 /C10FACTURA_1631567086700_344615231.xml")</f>
        <v>https://transparencia.cidesi.mx/comprobantes/2021/CQ2100799 /C10FACTURA_1631567086700_344615231.xml</v>
      </c>
      <c r="AO1020" t="str">
        <f>HYPERLINK("https://transparencia.cidesi.mx/comprobantes/2021/CQ2100799 /C10FACTURA_1631567086700_344615231.xml")</f>
        <v>https://transparencia.cidesi.mx/comprobantes/2021/CQ2100799 /C10FACTURA_1631567086700_344615231.xml</v>
      </c>
      <c r="AP1020" t="s">
        <v>1900</v>
      </c>
      <c r="AQ1020" t="s">
        <v>1900</v>
      </c>
      <c r="AR1020" t="s">
        <v>1900</v>
      </c>
      <c r="AS1020" t="s">
        <v>1900</v>
      </c>
      <c r="AT1020" s="1">
        <v>44452</v>
      </c>
      <c r="AU1020" s="1">
        <v>44470</v>
      </c>
    </row>
    <row r="1021" spans="1:47" x14ac:dyDescent="0.3">
      <c r="A1021" t="s">
        <v>47</v>
      </c>
      <c r="B1021" t="s">
        <v>48</v>
      </c>
      <c r="C1021" t="s">
        <v>392</v>
      </c>
      <c r="D1021">
        <v>9136</v>
      </c>
      <c r="E1021" t="s">
        <v>1866</v>
      </c>
      <c r="F1021" t="s">
        <v>352</v>
      </c>
      <c r="G1021" t="s">
        <v>912</v>
      </c>
      <c r="H1021" t="s">
        <v>1896</v>
      </c>
      <c r="I1021" t="s">
        <v>54</v>
      </c>
      <c r="J1021" t="s">
        <v>1897</v>
      </c>
      <c r="K1021" t="s">
        <v>56</v>
      </c>
      <c r="L1021">
        <v>0</v>
      </c>
      <c r="M1021" t="s">
        <v>73</v>
      </c>
      <c r="N1021">
        <v>0</v>
      </c>
      <c r="O1021" t="s">
        <v>58</v>
      </c>
      <c r="P1021" t="s">
        <v>59</v>
      </c>
      <c r="Q1021" t="s">
        <v>1898</v>
      </c>
      <c r="R1021" t="s">
        <v>1897</v>
      </c>
      <c r="S1021" s="1">
        <v>44439</v>
      </c>
      <c r="T1021" s="1">
        <v>44444</v>
      </c>
      <c r="U1021">
        <v>37501</v>
      </c>
      <c r="V1021" t="s">
        <v>61</v>
      </c>
      <c r="W1021" t="s">
        <v>1899</v>
      </c>
      <c r="X1021" s="1">
        <v>44452</v>
      </c>
      <c r="Y1021" t="s">
        <v>63</v>
      </c>
      <c r="Z1021">
        <v>225.17</v>
      </c>
      <c r="AA1021">
        <v>16</v>
      </c>
      <c r="AB1021">
        <v>2.83</v>
      </c>
      <c r="AC1021">
        <v>0</v>
      </c>
      <c r="AD1021">
        <v>228</v>
      </c>
      <c r="AE1021">
        <v>5442.99</v>
      </c>
      <c r="AF1021">
        <v>6000</v>
      </c>
      <c r="AG1021" t="s">
        <v>1870</v>
      </c>
      <c r="AH1021" t="s">
        <v>65</v>
      </c>
      <c r="AI1021" t="s">
        <v>65</v>
      </c>
      <c r="AJ1021" t="s">
        <v>66</v>
      </c>
      <c r="AK1021" t="s">
        <v>66</v>
      </c>
      <c r="AL1021" t="s">
        <v>66</v>
      </c>
      <c r="AM1021" s="2" t="str">
        <f>HYPERLINK("https://transparencia.cidesi.mx/comprobantes/2021/CQ2100799 /C11FACTURA_1631567309721_344615903.xml")</f>
        <v>https://transparencia.cidesi.mx/comprobantes/2021/CQ2100799 /C11FACTURA_1631567309721_344615903.xml</v>
      </c>
      <c r="AN1021" t="str">
        <f>HYPERLINK("https://transparencia.cidesi.mx/comprobantes/2021/CQ2100799 /C11FACTURA_1631567309721_344615903.xml")</f>
        <v>https://transparencia.cidesi.mx/comprobantes/2021/CQ2100799 /C11FACTURA_1631567309721_344615903.xml</v>
      </c>
      <c r="AO1021" t="str">
        <f>HYPERLINK("https://transparencia.cidesi.mx/comprobantes/2021/CQ2100799 /C11FACTURA_1631567309721_344615903.xml")</f>
        <v>https://transparencia.cidesi.mx/comprobantes/2021/CQ2100799 /C11FACTURA_1631567309721_344615903.xml</v>
      </c>
      <c r="AP1021" t="s">
        <v>1900</v>
      </c>
      <c r="AQ1021" t="s">
        <v>1900</v>
      </c>
      <c r="AR1021" t="s">
        <v>1900</v>
      </c>
      <c r="AS1021" t="s">
        <v>1900</v>
      </c>
      <c r="AT1021" s="1">
        <v>44452</v>
      </c>
      <c r="AU1021" s="1">
        <v>44470</v>
      </c>
    </row>
    <row r="1022" spans="1:47" x14ac:dyDescent="0.3">
      <c r="A1022" t="s">
        <v>47</v>
      </c>
      <c r="B1022" t="s">
        <v>48</v>
      </c>
      <c r="C1022" t="s">
        <v>392</v>
      </c>
      <c r="D1022">
        <v>9136</v>
      </c>
      <c r="E1022" t="s">
        <v>1866</v>
      </c>
      <c r="F1022" t="s">
        <v>352</v>
      </c>
      <c r="G1022" t="s">
        <v>912</v>
      </c>
      <c r="H1022" t="s">
        <v>1896</v>
      </c>
      <c r="I1022" t="s">
        <v>54</v>
      </c>
      <c r="J1022" t="s">
        <v>1897</v>
      </c>
      <c r="K1022" t="s">
        <v>56</v>
      </c>
      <c r="L1022">
        <v>0</v>
      </c>
      <c r="M1022" t="s">
        <v>73</v>
      </c>
      <c r="N1022">
        <v>0</v>
      </c>
      <c r="O1022" t="s">
        <v>58</v>
      </c>
      <c r="P1022" t="s">
        <v>59</v>
      </c>
      <c r="Q1022" t="s">
        <v>1898</v>
      </c>
      <c r="R1022" t="s">
        <v>1897</v>
      </c>
      <c r="S1022" s="1">
        <v>44439</v>
      </c>
      <c r="T1022" s="1">
        <v>44444</v>
      </c>
      <c r="U1022">
        <v>37501</v>
      </c>
      <c r="V1022" t="s">
        <v>61</v>
      </c>
      <c r="W1022" t="s">
        <v>1899</v>
      </c>
      <c r="X1022" s="1">
        <v>44452</v>
      </c>
      <c r="Y1022" t="s">
        <v>63</v>
      </c>
      <c r="Z1022">
        <v>323.77999999999997</v>
      </c>
      <c r="AA1022">
        <v>16</v>
      </c>
      <c r="AB1022">
        <v>10.220000000000001</v>
      </c>
      <c r="AC1022">
        <v>0</v>
      </c>
      <c r="AD1022">
        <v>334</v>
      </c>
      <c r="AE1022">
        <v>5442.99</v>
      </c>
      <c r="AF1022">
        <v>6000</v>
      </c>
      <c r="AG1022" t="s">
        <v>1870</v>
      </c>
      <c r="AH1022" t="s">
        <v>65</v>
      </c>
      <c r="AI1022" t="s">
        <v>65</v>
      </c>
      <c r="AJ1022" t="s">
        <v>66</v>
      </c>
      <c r="AK1022" t="s">
        <v>66</v>
      </c>
      <c r="AL1022" t="s">
        <v>66</v>
      </c>
      <c r="AM1022" s="2" t="str">
        <f>HYPERLINK("https://transparencia.cidesi.mx/comprobantes/2021/CQ2100799 /C12FACTURA_1631567478010_344616221.xml")</f>
        <v>https://transparencia.cidesi.mx/comprobantes/2021/CQ2100799 /C12FACTURA_1631567478010_344616221.xml</v>
      </c>
      <c r="AN1022" t="str">
        <f>HYPERLINK("https://transparencia.cidesi.mx/comprobantes/2021/CQ2100799 /C12FACTURA_1631567478010_344616221.xml")</f>
        <v>https://transparencia.cidesi.mx/comprobantes/2021/CQ2100799 /C12FACTURA_1631567478010_344616221.xml</v>
      </c>
      <c r="AO1022" t="str">
        <f>HYPERLINK("https://transparencia.cidesi.mx/comprobantes/2021/CQ2100799 /C12FACTURA_1631567478010_344616221.xml")</f>
        <v>https://transparencia.cidesi.mx/comprobantes/2021/CQ2100799 /C12FACTURA_1631567478010_344616221.xml</v>
      </c>
      <c r="AP1022" t="s">
        <v>1900</v>
      </c>
      <c r="AQ1022" t="s">
        <v>1900</v>
      </c>
      <c r="AR1022" t="s">
        <v>1900</v>
      </c>
      <c r="AS1022" t="s">
        <v>1900</v>
      </c>
      <c r="AT1022" s="1">
        <v>44452</v>
      </c>
      <c r="AU1022" s="1">
        <v>44470</v>
      </c>
    </row>
    <row r="1023" spans="1:47" x14ac:dyDescent="0.3">
      <c r="A1023" t="s">
        <v>47</v>
      </c>
      <c r="B1023" t="s">
        <v>48</v>
      </c>
      <c r="C1023" t="s">
        <v>392</v>
      </c>
      <c r="D1023">
        <v>9136</v>
      </c>
      <c r="E1023" t="s">
        <v>1866</v>
      </c>
      <c r="F1023" t="s">
        <v>352</v>
      </c>
      <c r="G1023" t="s">
        <v>912</v>
      </c>
      <c r="H1023" t="s">
        <v>1901</v>
      </c>
      <c r="I1023" t="s">
        <v>54</v>
      </c>
      <c r="J1023" t="s">
        <v>583</v>
      </c>
      <c r="K1023" t="s">
        <v>56</v>
      </c>
      <c r="L1023">
        <v>0</v>
      </c>
      <c r="M1023" t="s">
        <v>73</v>
      </c>
      <c r="N1023">
        <v>0</v>
      </c>
      <c r="O1023" t="s">
        <v>58</v>
      </c>
      <c r="P1023" t="s">
        <v>59</v>
      </c>
      <c r="Q1023" t="s">
        <v>60</v>
      </c>
      <c r="R1023" t="s">
        <v>583</v>
      </c>
      <c r="S1023" s="1">
        <v>44448</v>
      </c>
      <c r="T1023" s="1">
        <v>44449</v>
      </c>
      <c r="U1023">
        <v>37501</v>
      </c>
      <c r="V1023" t="s">
        <v>104</v>
      </c>
      <c r="W1023" t="s">
        <v>1902</v>
      </c>
      <c r="X1023" s="1">
        <v>44460</v>
      </c>
      <c r="Y1023" t="s">
        <v>100</v>
      </c>
      <c r="Z1023">
        <v>607.54999999999995</v>
      </c>
      <c r="AA1023">
        <v>16</v>
      </c>
      <c r="AB1023">
        <v>93.92</v>
      </c>
      <c r="AC1023">
        <v>0</v>
      </c>
      <c r="AD1023">
        <v>701.47</v>
      </c>
      <c r="AE1023">
        <v>1622.95</v>
      </c>
      <c r="AF1023">
        <v>1636</v>
      </c>
      <c r="AG1023" t="s">
        <v>1874</v>
      </c>
      <c r="AH1023" t="s">
        <v>65</v>
      </c>
      <c r="AI1023" t="s">
        <v>65</v>
      </c>
      <c r="AJ1023" t="s">
        <v>66</v>
      </c>
      <c r="AK1023" t="s">
        <v>66</v>
      </c>
      <c r="AL1023" t="s">
        <v>66</v>
      </c>
      <c r="AM1023" s="2" t="str">
        <f>HYPERLINK("https://transparencia.cidesi.mx/comprobantes/2021/CQ2100851 /C112409608.pdf")</f>
        <v>https://transparencia.cidesi.mx/comprobantes/2021/CQ2100851 /C112409608.pdf</v>
      </c>
      <c r="AN1023" t="str">
        <f>HYPERLINK("https://transparencia.cidesi.mx/comprobantes/2021/CQ2100851 /C112409608.pdf")</f>
        <v>https://transparencia.cidesi.mx/comprobantes/2021/CQ2100851 /C112409608.pdf</v>
      </c>
      <c r="AO1023" t="str">
        <f>HYPERLINK("https://transparencia.cidesi.mx/comprobantes/2021/CQ2100851 /C112409608_timbrado.xml")</f>
        <v>https://transparencia.cidesi.mx/comprobantes/2021/CQ2100851 /C112409608_timbrado.xml</v>
      </c>
      <c r="AP1023" t="s">
        <v>1903</v>
      </c>
      <c r="AQ1023" t="s">
        <v>1903</v>
      </c>
      <c r="AR1023" t="s">
        <v>1903</v>
      </c>
      <c r="AS1023" t="s">
        <v>1903</v>
      </c>
      <c r="AT1023" s="1">
        <v>44460</v>
      </c>
      <c r="AU1023" t="s">
        <v>73</v>
      </c>
    </row>
    <row r="1024" spans="1:47" x14ac:dyDescent="0.3">
      <c r="A1024" t="s">
        <v>47</v>
      </c>
      <c r="B1024" t="s">
        <v>48</v>
      </c>
      <c r="C1024" t="s">
        <v>392</v>
      </c>
      <c r="D1024">
        <v>9136</v>
      </c>
      <c r="E1024" t="s">
        <v>1866</v>
      </c>
      <c r="F1024" t="s">
        <v>352</v>
      </c>
      <c r="G1024" t="s">
        <v>912</v>
      </c>
      <c r="H1024" t="s">
        <v>1901</v>
      </c>
      <c r="I1024" t="s">
        <v>54</v>
      </c>
      <c r="J1024" t="s">
        <v>583</v>
      </c>
      <c r="K1024" t="s">
        <v>56</v>
      </c>
      <c r="L1024">
        <v>0</v>
      </c>
      <c r="M1024" t="s">
        <v>73</v>
      </c>
      <c r="N1024">
        <v>0</v>
      </c>
      <c r="O1024" t="s">
        <v>58</v>
      </c>
      <c r="P1024" t="s">
        <v>59</v>
      </c>
      <c r="Q1024" t="s">
        <v>60</v>
      </c>
      <c r="R1024" t="s">
        <v>583</v>
      </c>
      <c r="S1024" s="1">
        <v>44448</v>
      </c>
      <c r="T1024" s="1">
        <v>44449</v>
      </c>
      <c r="U1024">
        <v>37501</v>
      </c>
      <c r="V1024" t="s">
        <v>61</v>
      </c>
      <c r="W1024" t="s">
        <v>1902</v>
      </c>
      <c r="X1024" s="1">
        <v>44460</v>
      </c>
      <c r="Y1024" t="s">
        <v>100</v>
      </c>
      <c r="Z1024">
        <v>227.79</v>
      </c>
      <c r="AA1024">
        <v>16</v>
      </c>
      <c r="AB1024">
        <v>2.21</v>
      </c>
      <c r="AC1024">
        <v>0</v>
      </c>
      <c r="AD1024">
        <v>230</v>
      </c>
      <c r="AE1024">
        <v>1622.95</v>
      </c>
      <c r="AF1024">
        <v>1636</v>
      </c>
      <c r="AG1024" t="s">
        <v>1870</v>
      </c>
      <c r="AH1024" t="s">
        <v>65</v>
      </c>
      <c r="AI1024" t="s">
        <v>65</v>
      </c>
      <c r="AJ1024" t="s">
        <v>66</v>
      </c>
      <c r="AK1024" t="s">
        <v>66</v>
      </c>
      <c r="AL1024" t="s">
        <v>66</v>
      </c>
      <c r="AM1024" s="2" t="str">
        <f>HYPERLINK("https://transparencia.cidesi.mx/comprobantes/2021/CQ2100851 /C2FACTURA_1632239748471_345362719.pdf")</f>
        <v>https://transparencia.cidesi.mx/comprobantes/2021/CQ2100851 /C2FACTURA_1632239748471_345362719.pdf</v>
      </c>
      <c r="AN1024" t="str">
        <f>HYPERLINK("https://transparencia.cidesi.mx/comprobantes/2021/CQ2100851 /C2FACTURA_1632239748471_345362719.pdf")</f>
        <v>https://transparencia.cidesi.mx/comprobantes/2021/CQ2100851 /C2FACTURA_1632239748471_345362719.pdf</v>
      </c>
      <c r="AO1024" t="str">
        <f>HYPERLINK("https://transparencia.cidesi.mx/comprobantes/2021/CQ2100851 /C2FACTURA_1632239750301_345362719.xml")</f>
        <v>https://transparencia.cidesi.mx/comprobantes/2021/CQ2100851 /C2FACTURA_1632239750301_345362719.xml</v>
      </c>
      <c r="AP1024" t="s">
        <v>1903</v>
      </c>
      <c r="AQ1024" t="s">
        <v>1903</v>
      </c>
      <c r="AR1024" t="s">
        <v>1903</v>
      </c>
      <c r="AS1024" t="s">
        <v>1903</v>
      </c>
      <c r="AT1024" s="1">
        <v>44460</v>
      </c>
      <c r="AU1024" t="s">
        <v>73</v>
      </c>
    </row>
    <row r="1025" spans="1:47" x14ac:dyDescent="0.3">
      <c r="A1025" t="s">
        <v>47</v>
      </c>
      <c r="B1025" t="s">
        <v>48</v>
      </c>
      <c r="C1025" t="s">
        <v>392</v>
      </c>
      <c r="D1025">
        <v>9136</v>
      </c>
      <c r="E1025" t="s">
        <v>1866</v>
      </c>
      <c r="F1025" t="s">
        <v>352</v>
      </c>
      <c r="G1025" t="s">
        <v>912</v>
      </c>
      <c r="H1025" t="s">
        <v>1901</v>
      </c>
      <c r="I1025" t="s">
        <v>54</v>
      </c>
      <c r="J1025" t="s">
        <v>583</v>
      </c>
      <c r="K1025" t="s">
        <v>56</v>
      </c>
      <c r="L1025">
        <v>0</v>
      </c>
      <c r="M1025" t="s">
        <v>73</v>
      </c>
      <c r="N1025">
        <v>0</v>
      </c>
      <c r="O1025" t="s">
        <v>58</v>
      </c>
      <c r="P1025" t="s">
        <v>59</v>
      </c>
      <c r="Q1025" t="s">
        <v>60</v>
      </c>
      <c r="R1025" t="s">
        <v>583</v>
      </c>
      <c r="S1025" s="1">
        <v>44448</v>
      </c>
      <c r="T1025" s="1">
        <v>44449</v>
      </c>
      <c r="U1025">
        <v>37501</v>
      </c>
      <c r="V1025" t="s">
        <v>61</v>
      </c>
      <c r="W1025" t="s">
        <v>1902</v>
      </c>
      <c r="X1025" s="1">
        <v>44460</v>
      </c>
      <c r="Y1025" t="s">
        <v>100</v>
      </c>
      <c r="Z1025">
        <v>372.41</v>
      </c>
      <c r="AA1025">
        <v>16</v>
      </c>
      <c r="AB1025">
        <v>59.59</v>
      </c>
      <c r="AC1025">
        <v>0</v>
      </c>
      <c r="AD1025">
        <v>432</v>
      </c>
      <c r="AE1025">
        <v>1622.95</v>
      </c>
      <c r="AF1025">
        <v>1636</v>
      </c>
      <c r="AG1025" t="s">
        <v>1870</v>
      </c>
      <c r="AH1025" t="s">
        <v>65</v>
      </c>
      <c r="AI1025" t="s">
        <v>65</v>
      </c>
      <c r="AJ1025" t="s">
        <v>66</v>
      </c>
      <c r="AK1025" t="s">
        <v>66</v>
      </c>
      <c r="AL1025" t="s">
        <v>66</v>
      </c>
      <c r="AM1025" s="2" t="str">
        <f>HYPERLINK("https://transparencia.cidesi.mx/comprobantes/2021/CQ2100851 /C31TIWEBDF000006579559.pdf")</f>
        <v>https://transparencia.cidesi.mx/comprobantes/2021/CQ2100851 /C31TIWEBDF000006579559.pdf</v>
      </c>
      <c r="AN1025" t="str">
        <f>HYPERLINK("https://transparencia.cidesi.mx/comprobantes/2021/CQ2100851 /C31TIWEBDF000006579559.pdf")</f>
        <v>https://transparencia.cidesi.mx/comprobantes/2021/CQ2100851 /C31TIWEBDF000006579559.pdf</v>
      </c>
      <c r="AO1025" t="str">
        <f>HYPERLINK("https://transparencia.cidesi.mx/comprobantes/2021/CQ2100851 /C31TIWEBDF000006579559.xml")</f>
        <v>https://transparencia.cidesi.mx/comprobantes/2021/CQ2100851 /C31TIWEBDF000006579559.xml</v>
      </c>
      <c r="AP1025" t="s">
        <v>1903</v>
      </c>
      <c r="AQ1025" t="s">
        <v>1903</v>
      </c>
      <c r="AR1025" t="s">
        <v>1903</v>
      </c>
      <c r="AS1025" t="s">
        <v>1903</v>
      </c>
      <c r="AT1025" s="1">
        <v>44460</v>
      </c>
      <c r="AU1025" t="s">
        <v>73</v>
      </c>
    </row>
    <row r="1026" spans="1:47" x14ac:dyDescent="0.3">
      <c r="A1026" t="s">
        <v>47</v>
      </c>
      <c r="B1026" t="s">
        <v>48</v>
      </c>
      <c r="C1026" t="s">
        <v>392</v>
      </c>
      <c r="D1026">
        <v>9136</v>
      </c>
      <c r="E1026" t="s">
        <v>1866</v>
      </c>
      <c r="F1026" t="s">
        <v>352</v>
      </c>
      <c r="G1026" t="s">
        <v>912</v>
      </c>
      <c r="H1026" t="s">
        <v>1901</v>
      </c>
      <c r="I1026" t="s">
        <v>54</v>
      </c>
      <c r="J1026" t="s">
        <v>583</v>
      </c>
      <c r="K1026" t="s">
        <v>56</v>
      </c>
      <c r="L1026">
        <v>0</v>
      </c>
      <c r="M1026" t="s">
        <v>73</v>
      </c>
      <c r="N1026">
        <v>0</v>
      </c>
      <c r="O1026" t="s">
        <v>58</v>
      </c>
      <c r="P1026" t="s">
        <v>59</v>
      </c>
      <c r="Q1026" t="s">
        <v>60</v>
      </c>
      <c r="R1026" t="s">
        <v>583</v>
      </c>
      <c r="S1026" s="1">
        <v>44448</v>
      </c>
      <c r="T1026" s="1">
        <v>44449</v>
      </c>
      <c r="U1026">
        <v>37501</v>
      </c>
      <c r="V1026" t="s">
        <v>61</v>
      </c>
      <c r="W1026" t="s">
        <v>1902</v>
      </c>
      <c r="X1026" s="1">
        <v>44460</v>
      </c>
      <c r="Y1026" t="s">
        <v>100</v>
      </c>
      <c r="Z1026">
        <v>172.41</v>
      </c>
      <c r="AA1026">
        <v>16</v>
      </c>
      <c r="AB1026">
        <v>27.59</v>
      </c>
      <c r="AC1026">
        <v>0</v>
      </c>
      <c r="AD1026">
        <v>200</v>
      </c>
      <c r="AE1026">
        <v>1622.95</v>
      </c>
      <c r="AF1026">
        <v>1636</v>
      </c>
      <c r="AG1026" t="s">
        <v>1870</v>
      </c>
      <c r="AH1026" t="s">
        <v>65</v>
      </c>
      <c r="AI1026" t="s">
        <v>65</v>
      </c>
      <c r="AJ1026" t="s">
        <v>66</v>
      </c>
      <c r="AK1026" t="s">
        <v>66</v>
      </c>
      <c r="AL1026" t="s">
        <v>66</v>
      </c>
      <c r="AM1026" s="2" t="str">
        <f>HYPERLINK("https://transparencia.cidesi.mx/comprobantes/2021/CQ2100851 /C4RORR791119M94_Factura__38308_000C3C0E-B8D0-46D7-BE36-B8E1667BEAA7.pdf")</f>
        <v>https://transparencia.cidesi.mx/comprobantes/2021/CQ2100851 /C4RORR791119M94_Factura__38308_000C3C0E-B8D0-46D7-BE36-B8E1667BEAA7.pdf</v>
      </c>
      <c r="AN1026" t="str">
        <f>HYPERLINK("https://transparencia.cidesi.mx/comprobantes/2021/CQ2100851 /C4RORR791119M94_Factura__38308_000C3C0E-B8D0-46D7-BE36-B8E1667BEAA7.pdf")</f>
        <v>https://transparencia.cidesi.mx/comprobantes/2021/CQ2100851 /C4RORR791119M94_Factura__38308_000C3C0E-B8D0-46D7-BE36-B8E1667BEAA7.pdf</v>
      </c>
      <c r="AO1026" t="str">
        <f>HYPERLINK("https://transparencia.cidesi.mx/comprobantes/2021/CQ2100851 /C4RORR791119M94_Factura__38308_000C3C0E-B8D0-46D7-BE36-B8E1667BEAA7.xml")</f>
        <v>https://transparencia.cidesi.mx/comprobantes/2021/CQ2100851 /C4RORR791119M94_Factura__38308_000C3C0E-B8D0-46D7-BE36-B8E1667BEAA7.xml</v>
      </c>
      <c r="AP1026" t="s">
        <v>1903</v>
      </c>
      <c r="AQ1026" t="s">
        <v>1903</v>
      </c>
      <c r="AR1026" t="s">
        <v>1903</v>
      </c>
      <c r="AS1026" t="s">
        <v>1903</v>
      </c>
      <c r="AT1026" s="1">
        <v>44460</v>
      </c>
      <c r="AU1026" t="s">
        <v>73</v>
      </c>
    </row>
    <row r="1027" spans="1:47" x14ac:dyDescent="0.3">
      <c r="A1027" t="s">
        <v>47</v>
      </c>
      <c r="B1027" t="s">
        <v>48</v>
      </c>
      <c r="C1027" t="s">
        <v>392</v>
      </c>
      <c r="D1027">
        <v>9136</v>
      </c>
      <c r="E1027" t="s">
        <v>1866</v>
      </c>
      <c r="F1027" t="s">
        <v>352</v>
      </c>
      <c r="G1027" t="s">
        <v>912</v>
      </c>
      <c r="H1027" t="s">
        <v>1901</v>
      </c>
      <c r="I1027" t="s">
        <v>54</v>
      </c>
      <c r="J1027" t="s">
        <v>583</v>
      </c>
      <c r="K1027" t="s">
        <v>56</v>
      </c>
      <c r="L1027">
        <v>0</v>
      </c>
      <c r="M1027" t="s">
        <v>73</v>
      </c>
      <c r="N1027">
        <v>0</v>
      </c>
      <c r="O1027" t="s">
        <v>58</v>
      </c>
      <c r="P1027" t="s">
        <v>59</v>
      </c>
      <c r="Q1027" t="s">
        <v>60</v>
      </c>
      <c r="R1027" t="s">
        <v>583</v>
      </c>
      <c r="S1027" s="1">
        <v>44448</v>
      </c>
      <c r="T1027" s="1">
        <v>44449</v>
      </c>
      <c r="U1027">
        <v>37501</v>
      </c>
      <c r="V1027" t="s">
        <v>1009</v>
      </c>
      <c r="W1027" t="s">
        <v>1902</v>
      </c>
      <c r="X1027" s="1">
        <v>44460</v>
      </c>
      <c r="Y1027" t="s">
        <v>100</v>
      </c>
      <c r="Z1027">
        <v>59.48</v>
      </c>
      <c r="AA1027">
        <v>0</v>
      </c>
      <c r="AB1027">
        <v>0</v>
      </c>
      <c r="AC1027">
        <v>0</v>
      </c>
      <c r="AD1027">
        <v>59.48</v>
      </c>
      <c r="AE1027">
        <v>1622.95</v>
      </c>
      <c r="AF1027">
        <v>1636</v>
      </c>
      <c r="AG1027" t="s">
        <v>1904</v>
      </c>
      <c r="AH1027" t="s">
        <v>66</v>
      </c>
      <c r="AI1027" t="s">
        <v>65</v>
      </c>
      <c r="AJ1027" t="s">
        <v>66</v>
      </c>
      <c r="AK1027" t="s">
        <v>66</v>
      </c>
      <c r="AL1027" t="s">
        <v>66</v>
      </c>
      <c r="AM1027" s="2" t="str">
        <f>HYPERLINK("https://transparencia.cidesi.mx/comprobantes/2021/CQ2100851 /C5Factura_EMEX520959.pdf")</f>
        <v>https://transparencia.cidesi.mx/comprobantes/2021/CQ2100851 /C5Factura_EMEX520959.pdf</v>
      </c>
      <c r="AN1027" t="str">
        <f>HYPERLINK("https://transparencia.cidesi.mx/comprobantes/2021/CQ2100851 /C5Factura_EMEX520959.pdf")</f>
        <v>https://transparencia.cidesi.mx/comprobantes/2021/CQ2100851 /C5Factura_EMEX520959.pdf</v>
      </c>
      <c r="AO1027" t="str">
        <f>HYPERLINK("https://transparencia.cidesi.mx/comprobantes/2021/CQ2100851 /C5Factura_EMEX520959.xml")</f>
        <v>https://transparencia.cidesi.mx/comprobantes/2021/CQ2100851 /C5Factura_EMEX520959.xml</v>
      </c>
      <c r="AP1027" t="s">
        <v>1903</v>
      </c>
      <c r="AQ1027" t="s">
        <v>1903</v>
      </c>
      <c r="AR1027" t="s">
        <v>1903</v>
      </c>
      <c r="AS1027" t="s">
        <v>1903</v>
      </c>
      <c r="AT1027" s="1">
        <v>44460</v>
      </c>
      <c r="AU1027" t="s">
        <v>73</v>
      </c>
    </row>
    <row r="1028" spans="1:47" x14ac:dyDescent="0.3">
      <c r="A1028" t="s">
        <v>47</v>
      </c>
      <c r="B1028" t="s">
        <v>48</v>
      </c>
      <c r="C1028" t="s">
        <v>392</v>
      </c>
      <c r="D1028">
        <v>9136</v>
      </c>
      <c r="E1028" t="s">
        <v>1866</v>
      </c>
      <c r="F1028" t="s">
        <v>352</v>
      </c>
      <c r="G1028" t="s">
        <v>912</v>
      </c>
      <c r="H1028" t="s">
        <v>1905</v>
      </c>
      <c r="I1028" t="s">
        <v>54</v>
      </c>
      <c r="J1028" t="s">
        <v>589</v>
      </c>
      <c r="K1028" t="s">
        <v>56</v>
      </c>
      <c r="L1028">
        <v>0</v>
      </c>
      <c r="M1028" t="s">
        <v>73</v>
      </c>
      <c r="N1028">
        <v>0</v>
      </c>
      <c r="O1028" t="s">
        <v>58</v>
      </c>
      <c r="P1028" t="s">
        <v>59</v>
      </c>
      <c r="Q1028" t="s">
        <v>590</v>
      </c>
      <c r="R1028" t="s">
        <v>589</v>
      </c>
      <c r="S1028" s="1">
        <v>44462</v>
      </c>
      <c r="T1028" s="1">
        <v>44464</v>
      </c>
      <c r="U1028">
        <v>37501</v>
      </c>
      <c r="V1028" t="s">
        <v>61</v>
      </c>
      <c r="W1028" t="s">
        <v>1906</v>
      </c>
      <c r="X1028" s="1">
        <v>44473</v>
      </c>
      <c r="Y1028" t="s">
        <v>63</v>
      </c>
      <c r="Z1028">
        <v>106.89</v>
      </c>
      <c r="AA1028">
        <v>16</v>
      </c>
      <c r="AB1028">
        <v>17.11</v>
      </c>
      <c r="AC1028">
        <v>0</v>
      </c>
      <c r="AD1028">
        <v>124</v>
      </c>
      <c r="AE1028">
        <v>1599</v>
      </c>
      <c r="AF1028">
        <v>2727</v>
      </c>
      <c r="AG1028" t="s">
        <v>1870</v>
      </c>
      <c r="AH1028" t="s">
        <v>65</v>
      </c>
      <c r="AI1028" t="s">
        <v>65</v>
      </c>
      <c r="AJ1028" t="s">
        <v>66</v>
      </c>
      <c r="AK1028" t="s">
        <v>66</v>
      </c>
      <c r="AL1028" t="s">
        <v>66</v>
      </c>
      <c r="AM1028" s="2" t="str">
        <f>HYPERLINK("https://transparencia.cidesi.mx/comprobantes/2021/CQ2100933 /C178d8ad1c-14cd-4b9f-af30-b4537b575c83.pdf")</f>
        <v>https://transparencia.cidesi.mx/comprobantes/2021/CQ2100933 /C178d8ad1c-14cd-4b9f-af30-b4537b575c83.pdf</v>
      </c>
      <c r="AN1028" t="str">
        <f>HYPERLINK("https://transparencia.cidesi.mx/comprobantes/2021/CQ2100933 /C178d8ad1c-14cd-4b9f-af30-b4537b575c83.pdf")</f>
        <v>https://transparencia.cidesi.mx/comprobantes/2021/CQ2100933 /C178d8ad1c-14cd-4b9f-af30-b4537b575c83.pdf</v>
      </c>
      <c r="AO1028" t="str">
        <f>HYPERLINK("https://transparencia.cidesi.mx/comprobantes/2021/CQ2100933 /C178d8ad1c-14cd-4b9f-af30-b4537b575c83.xml")</f>
        <v>https://transparencia.cidesi.mx/comprobantes/2021/CQ2100933 /C178d8ad1c-14cd-4b9f-af30-b4537b575c83.xml</v>
      </c>
      <c r="AP1028" t="s">
        <v>1907</v>
      </c>
      <c r="AQ1028" t="s">
        <v>1908</v>
      </c>
      <c r="AR1028" t="s">
        <v>1907</v>
      </c>
      <c r="AS1028" t="s">
        <v>1907</v>
      </c>
      <c r="AT1028" s="1">
        <v>44473</v>
      </c>
      <c r="AU1028" s="1">
        <v>44473</v>
      </c>
    </row>
    <row r="1029" spans="1:47" x14ac:dyDescent="0.3">
      <c r="A1029" t="s">
        <v>47</v>
      </c>
      <c r="B1029" t="s">
        <v>48</v>
      </c>
      <c r="C1029" t="s">
        <v>392</v>
      </c>
      <c r="D1029">
        <v>9136</v>
      </c>
      <c r="E1029" t="s">
        <v>1866</v>
      </c>
      <c r="F1029" t="s">
        <v>352</v>
      </c>
      <c r="G1029" t="s">
        <v>912</v>
      </c>
      <c r="H1029" t="s">
        <v>1905</v>
      </c>
      <c r="I1029" t="s">
        <v>54</v>
      </c>
      <c r="J1029" t="s">
        <v>589</v>
      </c>
      <c r="K1029" t="s">
        <v>56</v>
      </c>
      <c r="L1029">
        <v>0</v>
      </c>
      <c r="M1029" t="s">
        <v>73</v>
      </c>
      <c r="N1029">
        <v>0</v>
      </c>
      <c r="O1029" t="s">
        <v>58</v>
      </c>
      <c r="P1029" t="s">
        <v>59</v>
      </c>
      <c r="Q1029" t="s">
        <v>590</v>
      </c>
      <c r="R1029" t="s">
        <v>589</v>
      </c>
      <c r="S1029" s="1">
        <v>44462</v>
      </c>
      <c r="T1029" s="1">
        <v>44464</v>
      </c>
      <c r="U1029">
        <v>37501</v>
      </c>
      <c r="V1029" t="s">
        <v>61</v>
      </c>
      <c r="W1029" t="s">
        <v>1906</v>
      </c>
      <c r="X1029" s="1">
        <v>44473</v>
      </c>
      <c r="Y1029" t="s">
        <v>63</v>
      </c>
      <c r="Z1029">
        <v>116.38</v>
      </c>
      <c r="AA1029">
        <v>16</v>
      </c>
      <c r="AB1029">
        <v>18.62</v>
      </c>
      <c r="AC1029">
        <v>0</v>
      </c>
      <c r="AD1029">
        <v>135</v>
      </c>
      <c r="AE1029">
        <v>1599</v>
      </c>
      <c r="AF1029">
        <v>2727</v>
      </c>
      <c r="AG1029" t="s">
        <v>1870</v>
      </c>
      <c r="AH1029" t="s">
        <v>65</v>
      </c>
      <c r="AI1029" t="s">
        <v>65</v>
      </c>
      <c r="AJ1029" t="s">
        <v>66</v>
      </c>
      <c r="AK1029" t="s">
        <v>66</v>
      </c>
      <c r="AL1029" t="s">
        <v>66</v>
      </c>
      <c r="AM1029" s="2" t="str">
        <f>HYPERLINK("https://transparencia.cidesi.mx/comprobantes/2021/CQ2100933 /C20818cd60-906b-4f9a-844e-9b70c02bb30d.xml")</f>
        <v>https://transparencia.cidesi.mx/comprobantes/2021/CQ2100933 /C20818cd60-906b-4f9a-844e-9b70c02bb30d.xml</v>
      </c>
      <c r="AN1029" t="str">
        <f>HYPERLINK("https://transparencia.cidesi.mx/comprobantes/2021/CQ2100933 /C20818cd60-906b-4f9a-844e-9b70c02bb30d.xml")</f>
        <v>https://transparencia.cidesi.mx/comprobantes/2021/CQ2100933 /C20818cd60-906b-4f9a-844e-9b70c02bb30d.xml</v>
      </c>
      <c r="AO1029" t="str">
        <f>HYPERLINK("https://transparencia.cidesi.mx/comprobantes/2021/CQ2100933 /C20818cd60-906b-4f9a-844e-9b70c02bb30d.xml")</f>
        <v>https://transparencia.cidesi.mx/comprobantes/2021/CQ2100933 /C20818cd60-906b-4f9a-844e-9b70c02bb30d.xml</v>
      </c>
      <c r="AP1029" t="s">
        <v>1907</v>
      </c>
      <c r="AQ1029" t="s">
        <v>1908</v>
      </c>
      <c r="AR1029" t="s">
        <v>1907</v>
      </c>
      <c r="AS1029" t="s">
        <v>1907</v>
      </c>
      <c r="AT1029" s="1">
        <v>44473</v>
      </c>
      <c r="AU1029" s="1">
        <v>44473</v>
      </c>
    </row>
    <row r="1030" spans="1:47" x14ac:dyDescent="0.3">
      <c r="A1030" t="s">
        <v>47</v>
      </c>
      <c r="B1030" t="s">
        <v>48</v>
      </c>
      <c r="C1030" t="s">
        <v>392</v>
      </c>
      <c r="D1030">
        <v>9136</v>
      </c>
      <c r="E1030" t="s">
        <v>1866</v>
      </c>
      <c r="F1030" t="s">
        <v>352</v>
      </c>
      <c r="G1030" t="s">
        <v>912</v>
      </c>
      <c r="H1030" t="s">
        <v>1905</v>
      </c>
      <c r="I1030" t="s">
        <v>54</v>
      </c>
      <c r="J1030" t="s">
        <v>589</v>
      </c>
      <c r="K1030" t="s">
        <v>56</v>
      </c>
      <c r="L1030">
        <v>0</v>
      </c>
      <c r="M1030" t="s">
        <v>73</v>
      </c>
      <c r="N1030">
        <v>0</v>
      </c>
      <c r="O1030" t="s">
        <v>58</v>
      </c>
      <c r="P1030" t="s">
        <v>59</v>
      </c>
      <c r="Q1030" t="s">
        <v>590</v>
      </c>
      <c r="R1030" t="s">
        <v>589</v>
      </c>
      <c r="S1030" s="1">
        <v>44462</v>
      </c>
      <c r="T1030" s="1">
        <v>44464</v>
      </c>
      <c r="U1030">
        <v>37501</v>
      </c>
      <c r="V1030" t="s">
        <v>61</v>
      </c>
      <c r="W1030" t="s">
        <v>1906</v>
      </c>
      <c r="X1030" s="1">
        <v>44473</v>
      </c>
      <c r="Y1030" t="s">
        <v>63</v>
      </c>
      <c r="Z1030">
        <v>262.93</v>
      </c>
      <c r="AA1030">
        <v>16</v>
      </c>
      <c r="AB1030">
        <v>42.07</v>
      </c>
      <c r="AC1030">
        <v>0</v>
      </c>
      <c r="AD1030">
        <v>305</v>
      </c>
      <c r="AE1030">
        <v>1599</v>
      </c>
      <c r="AF1030">
        <v>2727</v>
      </c>
      <c r="AG1030" t="s">
        <v>1870</v>
      </c>
      <c r="AH1030" t="s">
        <v>65</v>
      </c>
      <c r="AI1030" t="s">
        <v>65</v>
      </c>
      <c r="AJ1030" t="s">
        <v>66</v>
      </c>
      <c r="AK1030" t="s">
        <v>66</v>
      </c>
      <c r="AL1030" t="s">
        <v>66</v>
      </c>
      <c r="AM1030" s="2" t="str">
        <f>HYPERLINK("https://transparencia.cidesi.mx/comprobantes/2021/CQ2100933 /C3TIA1203081F7FF15542.pdf")</f>
        <v>https://transparencia.cidesi.mx/comprobantes/2021/CQ2100933 /C3TIA1203081F7FF15542.pdf</v>
      </c>
      <c r="AN1030" t="str">
        <f>HYPERLINK("https://transparencia.cidesi.mx/comprobantes/2021/CQ2100933 /C3TIA1203081F7FF15542.pdf")</f>
        <v>https://transparencia.cidesi.mx/comprobantes/2021/CQ2100933 /C3TIA1203081F7FF15542.pdf</v>
      </c>
      <c r="AO1030" t="str">
        <f>HYPERLINK("https://transparencia.cidesi.mx/comprobantes/2021/CQ2100933 /C3TIA1203081F7FF15542.xml")</f>
        <v>https://transparencia.cidesi.mx/comprobantes/2021/CQ2100933 /C3TIA1203081F7FF15542.xml</v>
      </c>
      <c r="AP1030" t="s">
        <v>1907</v>
      </c>
      <c r="AQ1030" t="s">
        <v>1908</v>
      </c>
      <c r="AR1030" t="s">
        <v>1907</v>
      </c>
      <c r="AS1030" t="s">
        <v>1907</v>
      </c>
      <c r="AT1030" s="1">
        <v>44473</v>
      </c>
      <c r="AU1030" s="1">
        <v>44473</v>
      </c>
    </row>
    <row r="1031" spans="1:47" x14ac:dyDescent="0.3">
      <c r="A1031" t="s">
        <v>47</v>
      </c>
      <c r="B1031" t="s">
        <v>48</v>
      </c>
      <c r="C1031" t="s">
        <v>392</v>
      </c>
      <c r="D1031">
        <v>9136</v>
      </c>
      <c r="E1031" t="s">
        <v>1866</v>
      </c>
      <c r="F1031" t="s">
        <v>352</v>
      </c>
      <c r="G1031" t="s">
        <v>912</v>
      </c>
      <c r="H1031" t="s">
        <v>1905</v>
      </c>
      <c r="I1031" t="s">
        <v>54</v>
      </c>
      <c r="J1031" t="s">
        <v>589</v>
      </c>
      <c r="K1031" t="s">
        <v>56</v>
      </c>
      <c r="L1031">
        <v>0</v>
      </c>
      <c r="M1031" t="s">
        <v>73</v>
      </c>
      <c r="N1031">
        <v>0</v>
      </c>
      <c r="O1031" t="s">
        <v>58</v>
      </c>
      <c r="P1031" t="s">
        <v>59</v>
      </c>
      <c r="Q1031" t="s">
        <v>590</v>
      </c>
      <c r="R1031" t="s">
        <v>589</v>
      </c>
      <c r="S1031" s="1">
        <v>44462</v>
      </c>
      <c r="T1031" s="1">
        <v>44464</v>
      </c>
      <c r="U1031">
        <v>37501</v>
      </c>
      <c r="V1031" t="s">
        <v>104</v>
      </c>
      <c r="W1031" t="s">
        <v>1906</v>
      </c>
      <c r="X1031" s="1">
        <v>44473</v>
      </c>
      <c r="Y1031" t="s">
        <v>63</v>
      </c>
      <c r="Z1031">
        <v>345.76</v>
      </c>
      <c r="AA1031">
        <v>16</v>
      </c>
      <c r="AB1031">
        <v>54.24</v>
      </c>
      <c r="AC1031">
        <v>0</v>
      </c>
      <c r="AD1031">
        <v>400</v>
      </c>
      <c r="AE1031">
        <v>1599</v>
      </c>
      <c r="AF1031">
        <v>2727</v>
      </c>
      <c r="AG1031" t="s">
        <v>1874</v>
      </c>
      <c r="AH1031" t="s">
        <v>65</v>
      </c>
      <c r="AI1031" t="s">
        <v>65</v>
      </c>
      <c r="AJ1031" t="s">
        <v>66</v>
      </c>
      <c r="AK1031" t="s">
        <v>66</v>
      </c>
      <c r="AL1031" t="s">
        <v>66</v>
      </c>
      <c r="AM1031" s="2" t="str">
        <f>HYPERLINK("https://transparencia.cidesi.mx/comprobantes/2021/CQ2100933 /C4H_27837.pdf")</f>
        <v>https://transparencia.cidesi.mx/comprobantes/2021/CQ2100933 /C4H_27837.pdf</v>
      </c>
      <c r="AN1031" t="str">
        <f>HYPERLINK("https://transparencia.cidesi.mx/comprobantes/2021/CQ2100933 /C4H_27837.pdf")</f>
        <v>https://transparencia.cidesi.mx/comprobantes/2021/CQ2100933 /C4H_27837.pdf</v>
      </c>
      <c r="AO1031" t="str">
        <f>HYPERLINK("https://transparencia.cidesi.mx/comprobantes/2021/CQ2100933 /C4H_27837.xml")</f>
        <v>https://transparencia.cidesi.mx/comprobantes/2021/CQ2100933 /C4H_27837.xml</v>
      </c>
      <c r="AP1031" t="s">
        <v>1907</v>
      </c>
      <c r="AQ1031" t="s">
        <v>1908</v>
      </c>
      <c r="AR1031" t="s">
        <v>1907</v>
      </c>
      <c r="AS1031" t="s">
        <v>1907</v>
      </c>
      <c r="AT1031" s="1">
        <v>44473</v>
      </c>
      <c r="AU1031" s="1">
        <v>44473</v>
      </c>
    </row>
    <row r="1032" spans="1:47" x14ac:dyDescent="0.3">
      <c r="A1032" t="s">
        <v>47</v>
      </c>
      <c r="B1032" t="s">
        <v>48</v>
      </c>
      <c r="C1032" t="s">
        <v>392</v>
      </c>
      <c r="D1032">
        <v>9136</v>
      </c>
      <c r="E1032" t="s">
        <v>1866</v>
      </c>
      <c r="F1032" t="s">
        <v>352</v>
      </c>
      <c r="G1032" t="s">
        <v>912</v>
      </c>
      <c r="H1032" t="s">
        <v>1905</v>
      </c>
      <c r="I1032" t="s">
        <v>54</v>
      </c>
      <c r="J1032" t="s">
        <v>589</v>
      </c>
      <c r="K1032" t="s">
        <v>56</v>
      </c>
      <c r="L1032">
        <v>0</v>
      </c>
      <c r="M1032" t="s">
        <v>73</v>
      </c>
      <c r="N1032">
        <v>0</v>
      </c>
      <c r="O1032" t="s">
        <v>58</v>
      </c>
      <c r="P1032" t="s">
        <v>59</v>
      </c>
      <c r="Q1032" t="s">
        <v>590</v>
      </c>
      <c r="R1032" t="s">
        <v>589</v>
      </c>
      <c r="S1032" s="1">
        <v>44462</v>
      </c>
      <c r="T1032" s="1">
        <v>44464</v>
      </c>
      <c r="U1032">
        <v>37501</v>
      </c>
      <c r="V1032" t="s">
        <v>61</v>
      </c>
      <c r="W1032" t="s">
        <v>1906</v>
      </c>
      <c r="X1032" s="1">
        <v>44473</v>
      </c>
      <c r="Y1032" t="s">
        <v>63</v>
      </c>
      <c r="Z1032">
        <v>439.66</v>
      </c>
      <c r="AA1032">
        <v>16</v>
      </c>
      <c r="AB1032">
        <v>70.34</v>
      </c>
      <c r="AC1032">
        <v>0</v>
      </c>
      <c r="AD1032">
        <v>510</v>
      </c>
      <c r="AE1032">
        <v>1599</v>
      </c>
      <c r="AF1032">
        <v>2727</v>
      </c>
      <c r="AG1032" t="s">
        <v>1870</v>
      </c>
      <c r="AH1032" t="s">
        <v>65</v>
      </c>
      <c r="AI1032" t="s">
        <v>65</v>
      </c>
      <c r="AJ1032" t="s">
        <v>66</v>
      </c>
      <c r="AK1032" t="s">
        <v>66</v>
      </c>
      <c r="AL1032" t="s">
        <v>66</v>
      </c>
      <c r="AM1032" s="2" t="str">
        <f>HYPERLINK("https://transparencia.cidesi.mx/comprobantes/2021/CQ2100933 /C524B76BBD-19E0-443A-81FF-EA5BE17CA56A.pdf")</f>
        <v>https://transparencia.cidesi.mx/comprobantes/2021/CQ2100933 /C524B76BBD-19E0-443A-81FF-EA5BE17CA56A.pdf</v>
      </c>
      <c r="AN1032" t="str">
        <f>HYPERLINK("https://transparencia.cidesi.mx/comprobantes/2021/CQ2100933 /C524B76BBD-19E0-443A-81FF-EA5BE17CA56A.pdf")</f>
        <v>https://transparencia.cidesi.mx/comprobantes/2021/CQ2100933 /C524B76BBD-19E0-443A-81FF-EA5BE17CA56A.pdf</v>
      </c>
      <c r="AO1032" t="str">
        <f>HYPERLINK("https://transparencia.cidesi.mx/comprobantes/2021/CQ2100933 /C524B76BBD-19E0-443A-81FF-EA5BE17CA56A.xml")</f>
        <v>https://transparencia.cidesi.mx/comprobantes/2021/CQ2100933 /C524B76BBD-19E0-443A-81FF-EA5BE17CA56A.xml</v>
      </c>
      <c r="AP1032" t="s">
        <v>1907</v>
      </c>
      <c r="AQ1032" t="s">
        <v>1908</v>
      </c>
      <c r="AR1032" t="s">
        <v>1907</v>
      </c>
      <c r="AS1032" t="s">
        <v>1907</v>
      </c>
      <c r="AT1032" s="1">
        <v>44473</v>
      </c>
      <c r="AU1032" s="1">
        <v>44473</v>
      </c>
    </row>
    <row r="1033" spans="1:47" x14ac:dyDescent="0.3">
      <c r="A1033" t="s">
        <v>47</v>
      </c>
      <c r="B1033" t="s">
        <v>48</v>
      </c>
      <c r="C1033" t="s">
        <v>392</v>
      </c>
      <c r="D1033">
        <v>9136</v>
      </c>
      <c r="E1033" t="s">
        <v>1866</v>
      </c>
      <c r="F1033" t="s">
        <v>352</v>
      </c>
      <c r="G1033" t="s">
        <v>912</v>
      </c>
      <c r="H1033" t="s">
        <v>1905</v>
      </c>
      <c r="I1033" t="s">
        <v>54</v>
      </c>
      <c r="J1033" t="s">
        <v>589</v>
      </c>
      <c r="K1033" t="s">
        <v>56</v>
      </c>
      <c r="L1033">
        <v>0</v>
      </c>
      <c r="M1033" t="s">
        <v>73</v>
      </c>
      <c r="N1033">
        <v>0</v>
      </c>
      <c r="O1033" t="s">
        <v>58</v>
      </c>
      <c r="P1033" t="s">
        <v>59</v>
      </c>
      <c r="Q1033" t="s">
        <v>590</v>
      </c>
      <c r="R1033" t="s">
        <v>589</v>
      </c>
      <c r="S1033" s="1">
        <v>44462</v>
      </c>
      <c r="T1033" s="1">
        <v>44464</v>
      </c>
      <c r="U1033">
        <v>37501</v>
      </c>
      <c r="V1033" t="s">
        <v>61</v>
      </c>
      <c r="W1033" t="s">
        <v>1906</v>
      </c>
      <c r="X1033" s="1">
        <v>44473</v>
      </c>
      <c r="Y1033" t="s">
        <v>63</v>
      </c>
      <c r="Z1033">
        <v>118.04</v>
      </c>
      <c r="AA1033">
        <v>16</v>
      </c>
      <c r="AB1033">
        <v>6.96</v>
      </c>
      <c r="AC1033">
        <v>0</v>
      </c>
      <c r="AD1033">
        <v>125</v>
      </c>
      <c r="AE1033">
        <v>1599</v>
      </c>
      <c r="AF1033">
        <v>2727</v>
      </c>
      <c r="AG1033" t="s">
        <v>1870</v>
      </c>
      <c r="AH1033" t="s">
        <v>65</v>
      </c>
      <c r="AI1033" t="s">
        <v>65</v>
      </c>
      <c r="AJ1033" t="s">
        <v>66</v>
      </c>
      <c r="AK1033" t="s">
        <v>66</v>
      </c>
      <c r="AL1033" t="s">
        <v>66</v>
      </c>
      <c r="AM1033" s="2" t="str">
        <f>HYPERLINK("https://transparencia.cidesi.mx/comprobantes/2021/CQ2100933 /C6FACTURA_1633368321697_347521107.pdf")</f>
        <v>https://transparencia.cidesi.mx/comprobantes/2021/CQ2100933 /C6FACTURA_1633368321697_347521107.pdf</v>
      </c>
      <c r="AN1033" t="str">
        <f>HYPERLINK("https://transparencia.cidesi.mx/comprobantes/2021/CQ2100933 /C6FACTURA_1633368321697_347521107.pdf")</f>
        <v>https://transparencia.cidesi.mx/comprobantes/2021/CQ2100933 /C6FACTURA_1633368321697_347521107.pdf</v>
      </c>
      <c r="AO1033" t="str">
        <f>HYPERLINK("https://transparencia.cidesi.mx/comprobantes/2021/CQ2100933 /C6FACTURA_1633368323477_347521107.xml")</f>
        <v>https://transparencia.cidesi.mx/comprobantes/2021/CQ2100933 /C6FACTURA_1633368323477_347521107.xml</v>
      </c>
      <c r="AP1033" t="s">
        <v>1907</v>
      </c>
      <c r="AQ1033" t="s">
        <v>1908</v>
      </c>
      <c r="AR1033" t="s">
        <v>1907</v>
      </c>
      <c r="AS1033" t="s">
        <v>1907</v>
      </c>
      <c r="AT1033" s="1">
        <v>44473</v>
      </c>
      <c r="AU1033" s="1">
        <v>44473</v>
      </c>
    </row>
    <row r="1034" spans="1:47" x14ac:dyDescent="0.3">
      <c r="A1034" t="s">
        <v>47</v>
      </c>
      <c r="B1034" t="s">
        <v>48</v>
      </c>
      <c r="C1034" t="s">
        <v>392</v>
      </c>
      <c r="D1034">
        <v>9136</v>
      </c>
      <c r="E1034" t="s">
        <v>1866</v>
      </c>
      <c r="F1034" t="s">
        <v>352</v>
      </c>
      <c r="G1034" t="s">
        <v>912</v>
      </c>
      <c r="H1034" t="s">
        <v>1909</v>
      </c>
      <c r="I1034" t="s">
        <v>54</v>
      </c>
      <c r="J1034" t="s">
        <v>1910</v>
      </c>
      <c r="K1034" t="s">
        <v>56</v>
      </c>
      <c r="L1034">
        <v>0</v>
      </c>
      <c r="M1034" t="s">
        <v>73</v>
      </c>
      <c r="N1034">
        <v>0</v>
      </c>
      <c r="O1034" t="s">
        <v>58</v>
      </c>
      <c r="P1034" t="s">
        <v>59</v>
      </c>
      <c r="Q1034" t="s">
        <v>60</v>
      </c>
      <c r="R1034" t="s">
        <v>1910</v>
      </c>
      <c r="S1034" s="1">
        <v>44468</v>
      </c>
      <c r="T1034" s="1">
        <v>44468</v>
      </c>
      <c r="U1034">
        <v>37501</v>
      </c>
      <c r="V1034" t="s">
        <v>61</v>
      </c>
      <c r="W1034" t="s">
        <v>1911</v>
      </c>
      <c r="X1034" s="1">
        <v>44476</v>
      </c>
      <c r="Y1034" t="s">
        <v>207</v>
      </c>
      <c r="Z1034">
        <v>114.22</v>
      </c>
      <c r="AA1034">
        <v>16</v>
      </c>
      <c r="AB1034">
        <v>18.28</v>
      </c>
      <c r="AC1034">
        <v>0</v>
      </c>
      <c r="AD1034">
        <v>132.5</v>
      </c>
      <c r="AE1034">
        <v>132.5</v>
      </c>
      <c r="AF1034">
        <v>545</v>
      </c>
      <c r="AG1034" t="s">
        <v>1870</v>
      </c>
      <c r="AH1034" t="s">
        <v>65</v>
      </c>
      <c r="AI1034" t="s">
        <v>65</v>
      </c>
      <c r="AJ1034" t="s">
        <v>66</v>
      </c>
      <c r="AK1034" t="s">
        <v>66</v>
      </c>
      <c r="AL1034" t="s">
        <v>66</v>
      </c>
      <c r="AM1034" s="2" t="str">
        <f>HYPERLINK("https://transparencia.cidesi.mx/comprobantes/2021/CQ2100970 /C1CID840309UG7_TIWEBDF6621848.pdf")</f>
        <v>https://transparencia.cidesi.mx/comprobantes/2021/CQ2100970 /C1CID840309UG7_TIWEBDF6621848.pdf</v>
      </c>
      <c r="AN1034" t="str">
        <f>HYPERLINK("https://transparencia.cidesi.mx/comprobantes/2021/CQ2100970 /C1CID840309UG7_TIWEBDF6621848.pdf")</f>
        <v>https://transparencia.cidesi.mx/comprobantes/2021/CQ2100970 /C1CID840309UG7_TIWEBDF6621848.pdf</v>
      </c>
      <c r="AO1034" t="str">
        <f>HYPERLINK("https://transparencia.cidesi.mx/comprobantes/2021/CQ2100970 /C1CID840309UG7_TIWEBDF6621848.xml")</f>
        <v>https://transparencia.cidesi.mx/comprobantes/2021/CQ2100970 /C1CID840309UG7_TIWEBDF6621848.xml</v>
      </c>
      <c r="AP1034" t="s">
        <v>1912</v>
      </c>
      <c r="AQ1034" t="s">
        <v>1913</v>
      </c>
      <c r="AR1034" t="s">
        <v>1913</v>
      </c>
      <c r="AS1034" t="s">
        <v>1913</v>
      </c>
      <c r="AT1034" s="1">
        <v>44476</v>
      </c>
      <c r="AU1034" t="s">
        <v>73</v>
      </c>
    </row>
    <row r="1035" spans="1:47" x14ac:dyDescent="0.3">
      <c r="A1035" t="s">
        <v>47</v>
      </c>
      <c r="B1035" t="s">
        <v>224</v>
      </c>
      <c r="C1035" t="s">
        <v>225</v>
      </c>
      <c r="D1035">
        <v>9139</v>
      </c>
      <c r="E1035" t="s">
        <v>1914</v>
      </c>
      <c r="F1035" t="s">
        <v>352</v>
      </c>
      <c r="G1035" t="s">
        <v>1915</v>
      </c>
      <c r="H1035" t="s">
        <v>1916</v>
      </c>
      <c r="I1035" t="s">
        <v>54</v>
      </c>
      <c r="J1035" t="s">
        <v>1917</v>
      </c>
      <c r="K1035" t="s">
        <v>56</v>
      </c>
      <c r="L1035">
        <v>0</v>
      </c>
      <c r="M1035" t="s">
        <v>73</v>
      </c>
      <c r="N1035">
        <v>0</v>
      </c>
      <c r="O1035" t="s">
        <v>58</v>
      </c>
      <c r="P1035" t="s">
        <v>59</v>
      </c>
      <c r="Q1035" t="s">
        <v>1042</v>
      </c>
      <c r="R1035" t="s">
        <v>1917</v>
      </c>
      <c r="S1035" s="1">
        <v>44441</v>
      </c>
      <c r="T1035" s="1">
        <v>44445</v>
      </c>
      <c r="U1035">
        <v>37501</v>
      </c>
      <c r="V1035" t="s">
        <v>104</v>
      </c>
      <c r="W1035" t="s">
        <v>1918</v>
      </c>
      <c r="X1035" s="1">
        <v>44448</v>
      </c>
      <c r="Y1035" t="s">
        <v>63</v>
      </c>
      <c r="Z1035">
        <v>2317.4899999999998</v>
      </c>
      <c r="AA1035">
        <v>16</v>
      </c>
      <c r="AB1035">
        <v>363.53</v>
      </c>
      <c r="AC1035">
        <v>0</v>
      </c>
      <c r="AD1035">
        <v>2681.02</v>
      </c>
      <c r="AE1035">
        <v>3756.56</v>
      </c>
      <c r="AF1035">
        <v>4909</v>
      </c>
      <c r="AG1035" t="s">
        <v>1919</v>
      </c>
      <c r="AH1035" t="s">
        <v>65</v>
      </c>
      <c r="AI1035" t="s">
        <v>65</v>
      </c>
      <c r="AJ1035" t="s">
        <v>66</v>
      </c>
      <c r="AK1035" t="s">
        <v>66</v>
      </c>
      <c r="AL1035" t="s">
        <v>66</v>
      </c>
      <c r="AM1035" s="2" t="str">
        <f>HYPERLINK("https://transparencia.cidesi.mx/comprobantes/2021/CQ2100763 /C1A8329.pdf")</f>
        <v>https://transparencia.cidesi.mx/comprobantes/2021/CQ2100763 /C1A8329.pdf</v>
      </c>
      <c r="AN1035" t="str">
        <f>HYPERLINK("https://transparencia.cidesi.mx/comprobantes/2021/CQ2100763 /C1A8329.pdf")</f>
        <v>https://transparencia.cidesi.mx/comprobantes/2021/CQ2100763 /C1A8329.pdf</v>
      </c>
      <c r="AO1035" t="str">
        <f>HYPERLINK("https://transparencia.cidesi.mx/comprobantes/2021/CQ2100763 /C1A8329.xml")</f>
        <v>https://transparencia.cidesi.mx/comprobantes/2021/CQ2100763 /C1A8329.xml</v>
      </c>
      <c r="AP1035" t="s">
        <v>1920</v>
      </c>
      <c r="AQ1035" t="s">
        <v>1921</v>
      </c>
      <c r="AR1035" t="s">
        <v>1922</v>
      </c>
      <c r="AS1035" t="s">
        <v>1923</v>
      </c>
      <c r="AT1035" s="1">
        <v>44453</v>
      </c>
      <c r="AU1035" s="1">
        <v>44470</v>
      </c>
    </row>
    <row r="1036" spans="1:47" x14ac:dyDescent="0.3">
      <c r="A1036" t="s">
        <v>47</v>
      </c>
      <c r="B1036" t="s">
        <v>224</v>
      </c>
      <c r="C1036" t="s">
        <v>225</v>
      </c>
      <c r="D1036">
        <v>9139</v>
      </c>
      <c r="E1036" t="s">
        <v>1914</v>
      </c>
      <c r="F1036" t="s">
        <v>352</v>
      </c>
      <c r="G1036" t="s">
        <v>1915</v>
      </c>
      <c r="H1036" t="s">
        <v>1916</v>
      </c>
      <c r="I1036" t="s">
        <v>54</v>
      </c>
      <c r="J1036" t="s">
        <v>1917</v>
      </c>
      <c r="K1036" t="s">
        <v>56</v>
      </c>
      <c r="L1036">
        <v>0</v>
      </c>
      <c r="M1036" t="s">
        <v>73</v>
      </c>
      <c r="N1036">
        <v>0</v>
      </c>
      <c r="O1036" t="s">
        <v>58</v>
      </c>
      <c r="P1036" t="s">
        <v>59</v>
      </c>
      <c r="Q1036" t="s">
        <v>1042</v>
      </c>
      <c r="R1036" t="s">
        <v>1917</v>
      </c>
      <c r="S1036" s="1">
        <v>44441</v>
      </c>
      <c r="T1036" s="1">
        <v>44445</v>
      </c>
      <c r="U1036">
        <v>37501</v>
      </c>
      <c r="V1036" t="s">
        <v>61</v>
      </c>
      <c r="W1036" t="s">
        <v>1918</v>
      </c>
      <c r="X1036" s="1">
        <v>44448</v>
      </c>
      <c r="Y1036" t="s">
        <v>63</v>
      </c>
      <c r="Z1036">
        <v>231.6</v>
      </c>
      <c r="AA1036">
        <v>16</v>
      </c>
      <c r="AB1036">
        <v>37.06</v>
      </c>
      <c r="AC1036">
        <v>26.87</v>
      </c>
      <c r="AD1036">
        <v>295.52999999999997</v>
      </c>
      <c r="AE1036">
        <v>3756.56</v>
      </c>
      <c r="AF1036">
        <v>4909</v>
      </c>
      <c r="AG1036" t="s">
        <v>1924</v>
      </c>
      <c r="AH1036" t="s">
        <v>65</v>
      </c>
      <c r="AI1036" t="s">
        <v>65</v>
      </c>
      <c r="AJ1036" t="s">
        <v>66</v>
      </c>
      <c r="AK1036" t="s">
        <v>66</v>
      </c>
      <c r="AL1036" t="s">
        <v>66</v>
      </c>
      <c r="AM1036" s="2" t="str">
        <f>HYPERLINK("https://transparencia.cidesi.mx/comprobantes/2021/CQ2100763 /C201DA82B1-B15A-4CD8-A881-2E386C28E5EB (1).pdf")</f>
        <v>https://transparencia.cidesi.mx/comprobantes/2021/CQ2100763 /C201DA82B1-B15A-4CD8-A881-2E386C28E5EB (1).pdf</v>
      </c>
      <c r="AN1036" t="str">
        <f>HYPERLINK("https://transparencia.cidesi.mx/comprobantes/2021/CQ2100763 /C201DA82B1-B15A-4CD8-A881-2E386C28E5EB (1).pdf")</f>
        <v>https://transparencia.cidesi.mx/comprobantes/2021/CQ2100763 /C201DA82B1-B15A-4CD8-A881-2E386C28E5EB (1).pdf</v>
      </c>
      <c r="AO1036" t="str">
        <f>HYPERLINK("https://transparencia.cidesi.mx/comprobantes/2021/CQ2100763 /C201DA82B1-B15A-4CD8-A881-2E386C28E5EB.xml")</f>
        <v>https://transparencia.cidesi.mx/comprobantes/2021/CQ2100763 /C201DA82B1-B15A-4CD8-A881-2E386C28E5EB.xml</v>
      </c>
      <c r="AP1036" t="s">
        <v>1920</v>
      </c>
      <c r="AQ1036" t="s">
        <v>1921</v>
      </c>
      <c r="AR1036" t="s">
        <v>1922</v>
      </c>
      <c r="AS1036" t="s">
        <v>1923</v>
      </c>
      <c r="AT1036" s="1">
        <v>44453</v>
      </c>
      <c r="AU1036" s="1">
        <v>44470</v>
      </c>
    </row>
    <row r="1037" spans="1:47" x14ac:dyDescent="0.3">
      <c r="A1037" t="s">
        <v>47</v>
      </c>
      <c r="B1037" t="s">
        <v>224</v>
      </c>
      <c r="C1037" t="s">
        <v>225</v>
      </c>
      <c r="D1037">
        <v>9139</v>
      </c>
      <c r="E1037" t="s">
        <v>1914</v>
      </c>
      <c r="F1037" t="s">
        <v>352</v>
      </c>
      <c r="G1037" t="s">
        <v>1915</v>
      </c>
      <c r="H1037" t="s">
        <v>1916</v>
      </c>
      <c r="I1037" t="s">
        <v>54</v>
      </c>
      <c r="J1037" t="s">
        <v>1917</v>
      </c>
      <c r="K1037" t="s">
        <v>56</v>
      </c>
      <c r="L1037">
        <v>0</v>
      </c>
      <c r="M1037" t="s">
        <v>73</v>
      </c>
      <c r="N1037">
        <v>0</v>
      </c>
      <c r="O1037" t="s">
        <v>58</v>
      </c>
      <c r="P1037" t="s">
        <v>59</v>
      </c>
      <c r="Q1037" t="s">
        <v>1042</v>
      </c>
      <c r="R1037" t="s">
        <v>1917</v>
      </c>
      <c r="S1037" s="1">
        <v>44441</v>
      </c>
      <c r="T1037" s="1">
        <v>44445</v>
      </c>
      <c r="U1037">
        <v>37501</v>
      </c>
      <c r="V1037" t="s">
        <v>61</v>
      </c>
      <c r="W1037" t="s">
        <v>1918</v>
      </c>
      <c r="X1037" s="1">
        <v>44448</v>
      </c>
      <c r="Y1037" t="s">
        <v>63</v>
      </c>
      <c r="Z1037">
        <v>214.66</v>
      </c>
      <c r="AA1037">
        <v>16</v>
      </c>
      <c r="AB1037">
        <v>34.35</v>
      </c>
      <c r="AC1037">
        <v>25</v>
      </c>
      <c r="AD1037">
        <v>274.01</v>
      </c>
      <c r="AE1037">
        <v>3756.56</v>
      </c>
      <c r="AF1037">
        <v>4909</v>
      </c>
      <c r="AG1037" t="s">
        <v>1924</v>
      </c>
      <c r="AH1037" t="s">
        <v>65</v>
      </c>
      <c r="AI1037" t="s">
        <v>65</v>
      </c>
      <c r="AJ1037" t="s">
        <v>66</v>
      </c>
      <c r="AK1037" t="s">
        <v>66</v>
      </c>
      <c r="AL1037" t="s">
        <v>66</v>
      </c>
      <c r="AM1037" s="2" t="str">
        <f>HYPERLINK("https://transparencia.cidesi.mx/comprobantes/2021/CQ2100763 /C3attach475840_CID840309UG7A1881.pdf")</f>
        <v>https://transparencia.cidesi.mx/comprobantes/2021/CQ2100763 /C3attach475840_CID840309UG7A1881.pdf</v>
      </c>
      <c r="AN1037" t="str">
        <f>HYPERLINK("https://transparencia.cidesi.mx/comprobantes/2021/CQ2100763 /C3attach475840_CID840309UG7A1881.pdf")</f>
        <v>https://transparencia.cidesi.mx/comprobantes/2021/CQ2100763 /C3attach475840_CID840309UG7A1881.pdf</v>
      </c>
      <c r="AO1037" t="str">
        <f>HYPERLINK("https://transparencia.cidesi.mx/comprobantes/2021/CQ2100763 /C3attach475841_CID840309UG7A1881.xml")</f>
        <v>https://transparencia.cidesi.mx/comprobantes/2021/CQ2100763 /C3attach475841_CID840309UG7A1881.xml</v>
      </c>
      <c r="AP1037" t="s">
        <v>1920</v>
      </c>
      <c r="AQ1037" t="s">
        <v>1921</v>
      </c>
      <c r="AR1037" t="s">
        <v>1922</v>
      </c>
      <c r="AS1037" t="s">
        <v>1923</v>
      </c>
      <c r="AT1037" s="1">
        <v>44453</v>
      </c>
      <c r="AU1037" s="1">
        <v>44470</v>
      </c>
    </row>
    <row r="1038" spans="1:47" x14ac:dyDescent="0.3">
      <c r="A1038" t="s">
        <v>47</v>
      </c>
      <c r="B1038" t="s">
        <v>224</v>
      </c>
      <c r="C1038" t="s">
        <v>225</v>
      </c>
      <c r="D1038">
        <v>9139</v>
      </c>
      <c r="E1038" t="s">
        <v>1914</v>
      </c>
      <c r="F1038" t="s">
        <v>352</v>
      </c>
      <c r="G1038" t="s">
        <v>1915</v>
      </c>
      <c r="H1038" t="s">
        <v>1916</v>
      </c>
      <c r="I1038" t="s">
        <v>54</v>
      </c>
      <c r="J1038" t="s">
        <v>1917</v>
      </c>
      <c r="K1038" t="s">
        <v>56</v>
      </c>
      <c r="L1038">
        <v>0</v>
      </c>
      <c r="M1038" t="s">
        <v>73</v>
      </c>
      <c r="N1038">
        <v>0</v>
      </c>
      <c r="O1038" t="s">
        <v>58</v>
      </c>
      <c r="P1038" t="s">
        <v>59</v>
      </c>
      <c r="Q1038" t="s">
        <v>1042</v>
      </c>
      <c r="R1038" t="s">
        <v>1917</v>
      </c>
      <c r="S1038" s="1">
        <v>44441</v>
      </c>
      <c r="T1038" s="1">
        <v>44445</v>
      </c>
      <c r="U1038">
        <v>37501</v>
      </c>
      <c r="V1038" t="s">
        <v>61</v>
      </c>
      <c r="W1038" t="s">
        <v>1918</v>
      </c>
      <c r="X1038" s="1">
        <v>44448</v>
      </c>
      <c r="Y1038" t="s">
        <v>63</v>
      </c>
      <c r="Z1038">
        <v>172.41</v>
      </c>
      <c r="AA1038">
        <v>16</v>
      </c>
      <c r="AB1038">
        <v>27.59</v>
      </c>
      <c r="AC1038">
        <v>0</v>
      </c>
      <c r="AD1038">
        <v>200</v>
      </c>
      <c r="AE1038">
        <v>3756.56</v>
      </c>
      <c r="AF1038">
        <v>4909</v>
      </c>
      <c r="AG1038" t="s">
        <v>1924</v>
      </c>
      <c r="AH1038" t="s">
        <v>65</v>
      </c>
      <c r="AI1038" t="s">
        <v>65</v>
      </c>
      <c r="AJ1038" t="s">
        <v>66</v>
      </c>
      <c r="AK1038" t="s">
        <v>66</v>
      </c>
      <c r="AL1038" t="s">
        <v>66</v>
      </c>
      <c r="AM1038" s="2" t="str">
        <f>HYPERLINK("https://transparencia.cidesi.mx/comprobantes/2021/CQ2100763 /C4B60067.pdf")</f>
        <v>https://transparencia.cidesi.mx/comprobantes/2021/CQ2100763 /C4B60067.pdf</v>
      </c>
      <c r="AN1038" t="str">
        <f>HYPERLINK("https://transparencia.cidesi.mx/comprobantes/2021/CQ2100763 /C4B60067.pdf")</f>
        <v>https://transparencia.cidesi.mx/comprobantes/2021/CQ2100763 /C4B60067.pdf</v>
      </c>
      <c r="AO1038" t="str">
        <f>HYPERLINK("https://transparencia.cidesi.mx/comprobantes/2021/CQ2100763 /C4B60067.xml")</f>
        <v>https://transparencia.cidesi.mx/comprobantes/2021/CQ2100763 /C4B60067.xml</v>
      </c>
      <c r="AP1038" t="s">
        <v>1920</v>
      </c>
      <c r="AQ1038" t="s">
        <v>1921</v>
      </c>
      <c r="AR1038" t="s">
        <v>1922</v>
      </c>
      <c r="AS1038" t="s">
        <v>1923</v>
      </c>
      <c r="AT1038" s="1">
        <v>44453</v>
      </c>
      <c r="AU1038" s="1">
        <v>44470</v>
      </c>
    </row>
    <row r="1039" spans="1:47" x14ac:dyDescent="0.3">
      <c r="A1039" t="s">
        <v>47</v>
      </c>
      <c r="B1039" t="s">
        <v>224</v>
      </c>
      <c r="C1039" t="s">
        <v>225</v>
      </c>
      <c r="D1039">
        <v>9139</v>
      </c>
      <c r="E1039" t="s">
        <v>1914</v>
      </c>
      <c r="F1039" t="s">
        <v>352</v>
      </c>
      <c r="G1039" t="s">
        <v>1915</v>
      </c>
      <c r="H1039" t="s">
        <v>1916</v>
      </c>
      <c r="I1039" t="s">
        <v>54</v>
      </c>
      <c r="J1039" t="s">
        <v>1917</v>
      </c>
      <c r="K1039" t="s">
        <v>56</v>
      </c>
      <c r="L1039">
        <v>0</v>
      </c>
      <c r="M1039" t="s">
        <v>73</v>
      </c>
      <c r="N1039">
        <v>0</v>
      </c>
      <c r="O1039" t="s">
        <v>58</v>
      </c>
      <c r="P1039" t="s">
        <v>59</v>
      </c>
      <c r="Q1039" t="s">
        <v>1042</v>
      </c>
      <c r="R1039" t="s">
        <v>1917</v>
      </c>
      <c r="S1039" s="1">
        <v>44441</v>
      </c>
      <c r="T1039" s="1">
        <v>44445</v>
      </c>
      <c r="U1039">
        <v>37501</v>
      </c>
      <c r="V1039" t="s">
        <v>61</v>
      </c>
      <c r="W1039" t="s">
        <v>1918</v>
      </c>
      <c r="X1039" s="1">
        <v>44448</v>
      </c>
      <c r="Y1039" t="s">
        <v>63</v>
      </c>
      <c r="Z1039">
        <v>133.62</v>
      </c>
      <c r="AA1039">
        <v>16</v>
      </c>
      <c r="AB1039">
        <v>21.38</v>
      </c>
      <c r="AC1039">
        <v>15.5</v>
      </c>
      <c r="AD1039">
        <v>170.5</v>
      </c>
      <c r="AE1039">
        <v>3756.56</v>
      </c>
      <c r="AF1039">
        <v>4909</v>
      </c>
      <c r="AG1039" t="s">
        <v>1924</v>
      </c>
      <c r="AH1039" t="s">
        <v>65</v>
      </c>
      <c r="AI1039" t="s">
        <v>65</v>
      </c>
      <c r="AJ1039" t="s">
        <v>66</v>
      </c>
      <c r="AK1039" t="s">
        <v>66</v>
      </c>
      <c r="AL1039" t="s">
        <v>66</v>
      </c>
      <c r="AM1039" s="2" t="str">
        <f>HYPERLINK("https://transparencia.cidesi.mx/comprobantes/2021/CQ2100763 /C5RORR791119M94_Factura__38153_35AE0FA2-D1CF-4307-AB60-56ABEB8FD8D6.pdf")</f>
        <v>https://transparencia.cidesi.mx/comprobantes/2021/CQ2100763 /C5RORR791119M94_Factura__38153_35AE0FA2-D1CF-4307-AB60-56ABEB8FD8D6.pdf</v>
      </c>
      <c r="AN1039" t="str">
        <f>HYPERLINK("https://transparencia.cidesi.mx/comprobantes/2021/CQ2100763 /C5RORR791119M94_Factura__38153_35AE0FA2-D1CF-4307-AB60-56ABEB8FD8D6.pdf")</f>
        <v>https://transparencia.cidesi.mx/comprobantes/2021/CQ2100763 /C5RORR791119M94_Factura__38153_35AE0FA2-D1CF-4307-AB60-56ABEB8FD8D6.pdf</v>
      </c>
      <c r="AO1039" t="str">
        <f>HYPERLINK("https://transparencia.cidesi.mx/comprobantes/2021/CQ2100763 /C5RORR791119M94_Factura__38153_35AE0FA2-D1CF-4307-AB60-56ABEB8FD8D6.xml")</f>
        <v>https://transparencia.cidesi.mx/comprobantes/2021/CQ2100763 /C5RORR791119M94_Factura__38153_35AE0FA2-D1CF-4307-AB60-56ABEB8FD8D6.xml</v>
      </c>
      <c r="AP1039" t="s">
        <v>1920</v>
      </c>
      <c r="AQ1039" t="s">
        <v>1921</v>
      </c>
      <c r="AR1039" t="s">
        <v>1922</v>
      </c>
      <c r="AS1039" t="s">
        <v>1923</v>
      </c>
      <c r="AT1039" s="1">
        <v>44453</v>
      </c>
      <c r="AU1039" s="1">
        <v>44470</v>
      </c>
    </row>
    <row r="1040" spans="1:47" x14ac:dyDescent="0.3">
      <c r="A1040" t="s">
        <v>47</v>
      </c>
      <c r="B1040" t="s">
        <v>224</v>
      </c>
      <c r="C1040" t="s">
        <v>225</v>
      </c>
      <c r="D1040">
        <v>9139</v>
      </c>
      <c r="E1040" t="s">
        <v>1914</v>
      </c>
      <c r="F1040" t="s">
        <v>352</v>
      </c>
      <c r="G1040" t="s">
        <v>1915</v>
      </c>
      <c r="H1040" t="s">
        <v>1916</v>
      </c>
      <c r="I1040" t="s">
        <v>54</v>
      </c>
      <c r="J1040" t="s">
        <v>1917</v>
      </c>
      <c r="K1040" t="s">
        <v>56</v>
      </c>
      <c r="L1040">
        <v>0</v>
      </c>
      <c r="M1040" t="s">
        <v>73</v>
      </c>
      <c r="N1040">
        <v>0</v>
      </c>
      <c r="O1040" t="s">
        <v>58</v>
      </c>
      <c r="P1040" t="s">
        <v>59</v>
      </c>
      <c r="Q1040" t="s">
        <v>1042</v>
      </c>
      <c r="R1040" t="s">
        <v>1917</v>
      </c>
      <c r="S1040" s="1">
        <v>44441</v>
      </c>
      <c r="T1040" s="1">
        <v>44445</v>
      </c>
      <c r="U1040">
        <v>37501</v>
      </c>
      <c r="V1040" t="s">
        <v>61</v>
      </c>
      <c r="W1040" t="s">
        <v>1918</v>
      </c>
      <c r="X1040" s="1">
        <v>44448</v>
      </c>
      <c r="Y1040" t="s">
        <v>63</v>
      </c>
      <c r="Z1040">
        <v>74.59</v>
      </c>
      <c r="AA1040">
        <v>16</v>
      </c>
      <c r="AB1040">
        <v>1.41</v>
      </c>
      <c r="AC1040">
        <v>0</v>
      </c>
      <c r="AD1040">
        <v>76</v>
      </c>
      <c r="AE1040">
        <v>3756.56</v>
      </c>
      <c r="AF1040">
        <v>4909</v>
      </c>
      <c r="AG1040" t="s">
        <v>1924</v>
      </c>
      <c r="AH1040" t="s">
        <v>65</v>
      </c>
      <c r="AI1040" t="s">
        <v>65</v>
      </c>
      <c r="AJ1040" t="s">
        <v>66</v>
      </c>
      <c r="AK1040" t="s">
        <v>66</v>
      </c>
      <c r="AL1040" t="s">
        <v>66</v>
      </c>
      <c r="AM1040" s="2" t="str">
        <f>HYPERLINK("https://transparencia.cidesi.mx/comprobantes/2021/CQ2100763 /C6FACTURA_1631202832526_344251973.pdf")</f>
        <v>https://transparencia.cidesi.mx/comprobantes/2021/CQ2100763 /C6FACTURA_1631202832526_344251973.pdf</v>
      </c>
      <c r="AN1040" t="str">
        <f>HYPERLINK("https://transparencia.cidesi.mx/comprobantes/2021/CQ2100763 /C6FACTURA_1631202832526_344251973.pdf")</f>
        <v>https://transparencia.cidesi.mx/comprobantes/2021/CQ2100763 /C6FACTURA_1631202832526_344251973.pdf</v>
      </c>
      <c r="AO1040" t="str">
        <f>HYPERLINK("https://transparencia.cidesi.mx/comprobantes/2021/CQ2100763 /C6FACTURA_1631202859745_344251973.xml")</f>
        <v>https://transparencia.cidesi.mx/comprobantes/2021/CQ2100763 /C6FACTURA_1631202859745_344251973.xml</v>
      </c>
      <c r="AP1040" t="s">
        <v>1920</v>
      </c>
      <c r="AQ1040" t="s">
        <v>1921</v>
      </c>
      <c r="AR1040" t="s">
        <v>1922</v>
      </c>
      <c r="AS1040" t="s">
        <v>1923</v>
      </c>
      <c r="AT1040" s="1">
        <v>44453</v>
      </c>
      <c r="AU1040" s="1">
        <v>44470</v>
      </c>
    </row>
    <row r="1041" spans="1:47" x14ac:dyDescent="0.3">
      <c r="A1041" t="s">
        <v>47</v>
      </c>
      <c r="B1041" t="s">
        <v>224</v>
      </c>
      <c r="C1041" t="s">
        <v>225</v>
      </c>
      <c r="D1041">
        <v>9139</v>
      </c>
      <c r="E1041" t="s">
        <v>1914</v>
      </c>
      <c r="F1041" t="s">
        <v>352</v>
      </c>
      <c r="G1041" t="s">
        <v>1915</v>
      </c>
      <c r="H1041" t="s">
        <v>1916</v>
      </c>
      <c r="I1041" t="s">
        <v>54</v>
      </c>
      <c r="J1041" t="s">
        <v>1917</v>
      </c>
      <c r="K1041" t="s">
        <v>56</v>
      </c>
      <c r="L1041">
        <v>0</v>
      </c>
      <c r="M1041" t="s">
        <v>73</v>
      </c>
      <c r="N1041">
        <v>0</v>
      </c>
      <c r="O1041" t="s">
        <v>58</v>
      </c>
      <c r="P1041" t="s">
        <v>59</v>
      </c>
      <c r="Q1041" t="s">
        <v>1042</v>
      </c>
      <c r="R1041" t="s">
        <v>1917</v>
      </c>
      <c r="S1041" s="1">
        <v>44441</v>
      </c>
      <c r="T1041" s="1">
        <v>44445</v>
      </c>
      <c r="U1041">
        <v>37501</v>
      </c>
      <c r="V1041" t="s">
        <v>61</v>
      </c>
      <c r="W1041" t="s">
        <v>1918</v>
      </c>
      <c r="X1041" s="1">
        <v>44448</v>
      </c>
      <c r="Y1041" t="s">
        <v>63</v>
      </c>
      <c r="Z1041">
        <v>56.72</v>
      </c>
      <c r="AA1041">
        <v>16</v>
      </c>
      <c r="AB1041">
        <v>2.78</v>
      </c>
      <c r="AC1041">
        <v>0</v>
      </c>
      <c r="AD1041">
        <v>59.5</v>
      </c>
      <c r="AE1041">
        <v>3756.56</v>
      </c>
      <c r="AF1041">
        <v>4909</v>
      </c>
      <c r="AG1041" t="s">
        <v>1924</v>
      </c>
      <c r="AH1041" t="s">
        <v>65</v>
      </c>
      <c r="AI1041" t="s">
        <v>65</v>
      </c>
      <c r="AJ1041" t="s">
        <v>66</v>
      </c>
      <c r="AK1041" t="s">
        <v>66</v>
      </c>
      <c r="AL1041" t="s">
        <v>66</v>
      </c>
      <c r="AM1041" s="2" t="str">
        <f>HYPERLINK("https://transparencia.cidesi.mx/comprobantes/2021/CQ2100763 /C7FACTURA_1631202979186_344252391.pdf")</f>
        <v>https://transparencia.cidesi.mx/comprobantes/2021/CQ2100763 /C7FACTURA_1631202979186_344252391.pdf</v>
      </c>
      <c r="AN1041" t="str">
        <f>HYPERLINK("https://transparencia.cidesi.mx/comprobantes/2021/CQ2100763 /C7FACTURA_1631202979186_344252391.pdf")</f>
        <v>https://transparencia.cidesi.mx/comprobantes/2021/CQ2100763 /C7FACTURA_1631202979186_344252391.pdf</v>
      </c>
      <c r="AO1041" t="str">
        <f>HYPERLINK("https://transparencia.cidesi.mx/comprobantes/2021/CQ2100763 /C7FACTURA_1631202996657_344252391.xml")</f>
        <v>https://transparencia.cidesi.mx/comprobantes/2021/CQ2100763 /C7FACTURA_1631202996657_344252391.xml</v>
      </c>
      <c r="AP1041" t="s">
        <v>1920</v>
      </c>
      <c r="AQ1041" t="s">
        <v>1921</v>
      </c>
      <c r="AR1041" t="s">
        <v>1922</v>
      </c>
      <c r="AS1041" t="s">
        <v>1923</v>
      </c>
      <c r="AT1041" s="1">
        <v>44453</v>
      </c>
      <c r="AU1041" s="1">
        <v>44470</v>
      </c>
    </row>
    <row r="1042" spans="1:47" x14ac:dyDescent="0.3">
      <c r="A1042" t="s">
        <v>47</v>
      </c>
      <c r="B1042" t="s">
        <v>224</v>
      </c>
      <c r="C1042" t="s">
        <v>225</v>
      </c>
      <c r="D1042">
        <v>9142</v>
      </c>
      <c r="E1042" t="s">
        <v>910</v>
      </c>
      <c r="F1042" t="s">
        <v>1925</v>
      </c>
      <c r="G1042" t="s">
        <v>723</v>
      </c>
      <c r="H1042" t="s">
        <v>1926</v>
      </c>
      <c r="I1042" t="s">
        <v>54</v>
      </c>
      <c r="J1042" t="s">
        <v>1927</v>
      </c>
      <c r="K1042" t="s">
        <v>56</v>
      </c>
      <c r="L1042">
        <v>0</v>
      </c>
      <c r="M1042" t="s">
        <v>73</v>
      </c>
      <c r="N1042">
        <v>0</v>
      </c>
      <c r="O1042" t="s">
        <v>58</v>
      </c>
      <c r="P1042" t="s">
        <v>59</v>
      </c>
      <c r="Q1042" t="s">
        <v>216</v>
      </c>
      <c r="R1042" t="s">
        <v>1927</v>
      </c>
      <c r="S1042" s="1">
        <v>44446</v>
      </c>
      <c r="T1042" s="1">
        <v>44446</v>
      </c>
      <c r="U1042">
        <v>37501</v>
      </c>
      <c r="V1042" t="s">
        <v>61</v>
      </c>
      <c r="W1042" t="s">
        <v>1928</v>
      </c>
      <c r="X1042" s="1">
        <v>44452</v>
      </c>
      <c r="Y1042" t="s">
        <v>63</v>
      </c>
      <c r="Z1042">
        <v>110.5</v>
      </c>
      <c r="AA1042">
        <v>0</v>
      </c>
      <c r="AB1042">
        <v>0</v>
      </c>
      <c r="AC1042">
        <v>0</v>
      </c>
      <c r="AD1042">
        <v>110.5</v>
      </c>
      <c r="AE1042">
        <v>510.9</v>
      </c>
      <c r="AF1042">
        <v>545</v>
      </c>
      <c r="AG1042" t="s">
        <v>1929</v>
      </c>
      <c r="AH1042" t="s">
        <v>65</v>
      </c>
      <c r="AI1042" t="s">
        <v>65</v>
      </c>
      <c r="AJ1042" t="s">
        <v>66</v>
      </c>
      <c r="AK1042" t="s">
        <v>66</v>
      </c>
      <c r="AL1042" t="s">
        <v>66</v>
      </c>
      <c r="AM1042" s="2" t="str">
        <f>HYPERLINK("https://transparencia.cidesi.mx/comprobantes/2021/CQ2100786 /C1FACTURA_1631310369939_344387937.pdf")</f>
        <v>https://transparencia.cidesi.mx/comprobantes/2021/CQ2100786 /C1FACTURA_1631310369939_344387937.pdf</v>
      </c>
      <c r="AN1042" t="str">
        <f>HYPERLINK("https://transparencia.cidesi.mx/comprobantes/2021/CQ2100786 /C1FACTURA_1631310369939_344387937.pdf")</f>
        <v>https://transparencia.cidesi.mx/comprobantes/2021/CQ2100786 /C1FACTURA_1631310369939_344387937.pdf</v>
      </c>
      <c r="AO1042" t="str">
        <f>HYPERLINK("https://transparencia.cidesi.mx/comprobantes/2021/CQ2100786 /C1FACTURA_1631310369939_344387937.xml")</f>
        <v>https://transparencia.cidesi.mx/comprobantes/2021/CQ2100786 /C1FACTURA_1631310369939_344387937.xml</v>
      </c>
      <c r="AP1042" t="s">
        <v>1927</v>
      </c>
      <c r="AQ1042" t="s">
        <v>1927</v>
      </c>
      <c r="AR1042" t="s">
        <v>1927</v>
      </c>
      <c r="AS1042" t="s">
        <v>1927</v>
      </c>
      <c r="AT1042" s="1">
        <v>44454</v>
      </c>
      <c r="AU1042" s="1">
        <v>44470</v>
      </c>
    </row>
    <row r="1043" spans="1:47" x14ac:dyDescent="0.3">
      <c r="A1043" t="s">
        <v>47</v>
      </c>
      <c r="B1043" t="s">
        <v>224</v>
      </c>
      <c r="C1043" t="s">
        <v>225</v>
      </c>
      <c r="D1043">
        <v>9142</v>
      </c>
      <c r="E1043" t="s">
        <v>910</v>
      </c>
      <c r="F1043" t="s">
        <v>1925</v>
      </c>
      <c r="G1043" t="s">
        <v>723</v>
      </c>
      <c r="H1043" t="s">
        <v>1926</v>
      </c>
      <c r="I1043" t="s">
        <v>54</v>
      </c>
      <c r="J1043" t="s">
        <v>1927</v>
      </c>
      <c r="K1043" t="s">
        <v>56</v>
      </c>
      <c r="L1043">
        <v>0</v>
      </c>
      <c r="M1043" t="s">
        <v>73</v>
      </c>
      <c r="N1043">
        <v>0</v>
      </c>
      <c r="O1043" t="s">
        <v>58</v>
      </c>
      <c r="P1043" t="s">
        <v>59</v>
      </c>
      <c r="Q1043" t="s">
        <v>216</v>
      </c>
      <c r="R1043" t="s">
        <v>1927</v>
      </c>
      <c r="S1043" s="1">
        <v>44446</v>
      </c>
      <c r="T1043" s="1">
        <v>44446</v>
      </c>
      <c r="U1043">
        <v>37501</v>
      </c>
      <c r="V1043" t="s">
        <v>61</v>
      </c>
      <c r="W1043" t="s">
        <v>1928</v>
      </c>
      <c r="X1043" s="1">
        <v>44452</v>
      </c>
      <c r="Y1043" t="s">
        <v>63</v>
      </c>
      <c r="Z1043">
        <v>313.8</v>
      </c>
      <c r="AA1043">
        <v>16</v>
      </c>
      <c r="AB1043">
        <v>50.2</v>
      </c>
      <c r="AC1043">
        <v>36.4</v>
      </c>
      <c r="AD1043">
        <v>400.4</v>
      </c>
      <c r="AE1043">
        <v>510.9</v>
      </c>
      <c r="AF1043">
        <v>545</v>
      </c>
      <c r="AG1043" t="s">
        <v>1929</v>
      </c>
      <c r="AH1043" t="s">
        <v>65</v>
      </c>
      <c r="AI1043" t="s">
        <v>65</v>
      </c>
      <c r="AJ1043" t="s">
        <v>66</v>
      </c>
      <c r="AK1043" t="s">
        <v>66</v>
      </c>
      <c r="AL1043" t="s">
        <v>66</v>
      </c>
      <c r="AM1043" s="2" t="str">
        <f>HYPERLINK("https://transparencia.cidesi.mx/comprobantes/2021/CQ2100786 /C2C2F8F4F7-C9B3-4EB3-9DCC-5C8417171B61.pdf")</f>
        <v>https://transparencia.cidesi.mx/comprobantes/2021/CQ2100786 /C2C2F8F4F7-C9B3-4EB3-9DCC-5C8417171B61.pdf</v>
      </c>
      <c r="AN1043" t="str">
        <f>HYPERLINK("https://transparencia.cidesi.mx/comprobantes/2021/CQ2100786 /C2C2F8F4F7-C9B3-4EB3-9DCC-5C8417171B61.pdf")</f>
        <v>https://transparencia.cidesi.mx/comprobantes/2021/CQ2100786 /C2C2F8F4F7-C9B3-4EB3-9DCC-5C8417171B61.pdf</v>
      </c>
      <c r="AO1043" t="str">
        <f>HYPERLINK("https://transparencia.cidesi.mx/comprobantes/2021/CQ2100786 /C2C2F8F4F7-C9B3-4EB3-9DCC-5C8417171B61.xml")</f>
        <v>https://transparencia.cidesi.mx/comprobantes/2021/CQ2100786 /C2C2F8F4F7-C9B3-4EB3-9DCC-5C8417171B61.xml</v>
      </c>
      <c r="AP1043" t="s">
        <v>1927</v>
      </c>
      <c r="AQ1043" t="s">
        <v>1927</v>
      </c>
      <c r="AR1043" t="s">
        <v>1927</v>
      </c>
      <c r="AS1043" t="s">
        <v>1927</v>
      </c>
      <c r="AT1043" s="1">
        <v>44454</v>
      </c>
      <c r="AU1043" s="1">
        <v>44470</v>
      </c>
    </row>
    <row r="1044" spans="1:47" x14ac:dyDescent="0.3">
      <c r="A1044" t="s">
        <v>47</v>
      </c>
      <c r="B1044" t="s">
        <v>224</v>
      </c>
      <c r="C1044" t="s">
        <v>225</v>
      </c>
      <c r="D1044">
        <v>9142</v>
      </c>
      <c r="E1044" t="s">
        <v>910</v>
      </c>
      <c r="F1044" t="s">
        <v>1925</v>
      </c>
      <c r="G1044" t="s">
        <v>723</v>
      </c>
      <c r="H1044" t="s">
        <v>1930</v>
      </c>
      <c r="I1044" t="s">
        <v>54</v>
      </c>
      <c r="J1044" t="s">
        <v>1931</v>
      </c>
      <c r="K1044" t="s">
        <v>56</v>
      </c>
      <c r="L1044">
        <v>0</v>
      </c>
      <c r="M1044" t="s">
        <v>73</v>
      </c>
      <c r="N1044">
        <v>0</v>
      </c>
      <c r="O1044" t="s">
        <v>58</v>
      </c>
      <c r="P1044" t="s">
        <v>59</v>
      </c>
      <c r="Q1044" t="s">
        <v>216</v>
      </c>
      <c r="R1044" t="s">
        <v>1931</v>
      </c>
      <c r="S1044" s="1">
        <v>44447</v>
      </c>
      <c r="T1044" s="1">
        <v>44447</v>
      </c>
      <c r="U1044">
        <v>37501</v>
      </c>
      <c r="V1044" t="s">
        <v>61</v>
      </c>
      <c r="W1044" t="s">
        <v>1932</v>
      </c>
      <c r="X1044" s="1">
        <v>44452</v>
      </c>
      <c r="Y1044" t="s">
        <v>63</v>
      </c>
      <c r="Z1044">
        <v>70.5</v>
      </c>
      <c r="AA1044">
        <v>0</v>
      </c>
      <c r="AB1044">
        <v>0</v>
      </c>
      <c r="AC1044">
        <v>0</v>
      </c>
      <c r="AD1044">
        <v>70.5</v>
      </c>
      <c r="AE1044">
        <v>479.7</v>
      </c>
      <c r="AF1044">
        <v>545</v>
      </c>
      <c r="AG1044" t="s">
        <v>1929</v>
      </c>
      <c r="AH1044" t="s">
        <v>65</v>
      </c>
      <c r="AI1044" t="s">
        <v>65</v>
      </c>
      <c r="AJ1044" t="s">
        <v>66</v>
      </c>
      <c r="AK1044" t="s">
        <v>66</v>
      </c>
      <c r="AL1044" t="s">
        <v>66</v>
      </c>
      <c r="AM1044" s="2" t="str">
        <f>HYPERLINK("https://transparencia.cidesi.mx/comprobantes/2021/CQ2100787 /C1FACTURA_1631309279999_344386353.pdf")</f>
        <v>https://transparencia.cidesi.mx/comprobantes/2021/CQ2100787 /C1FACTURA_1631309279999_344386353.pdf</v>
      </c>
      <c r="AN1044" t="str">
        <f>HYPERLINK("https://transparencia.cidesi.mx/comprobantes/2021/CQ2100787 /C1FACTURA_1631309279999_344386353.pdf")</f>
        <v>https://transparencia.cidesi.mx/comprobantes/2021/CQ2100787 /C1FACTURA_1631309279999_344386353.pdf</v>
      </c>
      <c r="AO1044" t="str">
        <f>HYPERLINK("https://transparencia.cidesi.mx/comprobantes/2021/CQ2100787 /C1FACTURA_1631309276839_344386353.xml")</f>
        <v>https://transparencia.cidesi.mx/comprobantes/2021/CQ2100787 /C1FACTURA_1631309276839_344386353.xml</v>
      </c>
      <c r="AP1044" t="s">
        <v>1931</v>
      </c>
      <c r="AQ1044" t="s">
        <v>1931</v>
      </c>
      <c r="AR1044" t="s">
        <v>1931</v>
      </c>
      <c r="AS1044" t="s">
        <v>1931</v>
      </c>
      <c r="AT1044" s="1">
        <v>44454</v>
      </c>
      <c r="AU1044" s="1">
        <v>44470</v>
      </c>
    </row>
    <row r="1045" spans="1:47" x14ac:dyDescent="0.3">
      <c r="A1045" t="s">
        <v>47</v>
      </c>
      <c r="B1045" t="s">
        <v>224</v>
      </c>
      <c r="C1045" t="s">
        <v>225</v>
      </c>
      <c r="D1045">
        <v>9142</v>
      </c>
      <c r="E1045" t="s">
        <v>910</v>
      </c>
      <c r="F1045" t="s">
        <v>1925</v>
      </c>
      <c r="G1045" t="s">
        <v>723</v>
      </c>
      <c r="H1045" t="s">
        <v>1930</v>
      </c>
      <c r="I1045" t="s">
        <v>54</v>
      </c>
      <c r="J1045" t="s">
        <v>1931</v>
      </c>
      <c r="K1045" t="s">
        <v>56</v>
      </c>
      <c r="L1045">
        <v>0</v>
      </c>
      <c r="M1045" t="s">
        <v>73</v>
      </c>
      <c r="N1045">
        <v>0</v>
      </c>
      <c r="O1045" t="s">
        <v>58</v>
      </c>
      <c r="P1045" t="s">
        <v>59</v>
      </c>
      <c r="Q1045" t="s">
        <v>216</v>
      </c>
      <c r="R1045" t="s">
        <v>1931</v>
      </c>
      <c r="S1045" s="1">
        <v>44447</v>
      </c>
      <c r="T1045" s="1">
        <v>44447</v>
      </c>
      <c r="U1045">
        <v>37501</v>
      </c>
      <c r="V1045" t="s">
        <v>61</v>
      </c>
      <c r="W1045" t="s">
        <v>1932</v>
      </c>
      <c r="X1045" s="1">
        <v>44452</v>
      </c>
      <c r="Y1045" t="s">
        <v>63</v>
      </c>
      <c r="Z1045">
        <v>320.69</v>
      </c>
      <c r="AA1045">
        <v>16</v>
      </c>
      <c r="AB1045">
        <v>51.31</v>
      </c>
      <c r="AC1045">
        <v>37.200000000000003</v>
      </c>
      <c r="AD1045">
        <v>409.2</v>
      </c>
      <c r="AE1045">
        <v>479.7</v>
      </c>
      <c r="AF1045">
        <v>545</v>
      </c>
      <c r="AG1045" t="s">
        <v>1929</v>
      </c>
      <c r="AH1045" t="s">
        <v>65</v>
      </c>
      <c r="AI1045" t="s">
        <v>65</v>
      </c>
      <c r="AJ1045" t="s">
        <v>66</v>
      </c>
      <c r="AK1045" t="s">
        <v>66</v>
      </c>
      <c r="AL1045" t="s">
        <v>66</v>
      </c>
      <c r="AM1045" s="2" t="str">
        <f>HYPERLINK("https://transparencia.cidesi.mx/comprobantes/2021/CQ2100787 /C26C46C03E-723F-4A1B-9831-20EA4FB7F5BD.pdf")</f>
        <v>https://transparencia.cidesi.mx/comprobantes/2021/CQ2100787 /C26C46C03E-723F-4A1B-9831-20EA4FB7F5BD.pdf</v>
      </c>
      <c r="AN1045" t="str">
        <f>HYPERLINK("https://transparencia.cidesi.mx/comprobantes/2021/CQ2100787 /C26C46C03E-723F-4A1B-9831-20EA4FB7F5BD.pdf")</f>
        <v>https://transparencia.cidesi.mx/comprobantes/2021/CQ2100787 /C26C46C03E-723F-4A1B-9831-20EA4FB7F5BD.pdf</v>
      </c>
      <c r="AO1045" t="str">
        <f>HYPERLINK("https://transparencia.cidesi.mx/comprobantes/2021/CQ2100787 /C26C46C03E-723F-4A1B-9831-20EA4FB7F5BD.xml")</f>
        <v>https://transparencia.cidesi.mx/comprobantes/2021/CQ2100787 /C26C46C03E-723F-4A1B-9831-20EA4FB7F5BD.xml</v>
      </c>
      <c r="AP1045" t="s">
        <v>1931</v>
      </c>
      <c r="AQ1045" t="s">
        <v>1931</v>
      </c>
      <c r="AR1045" t="s">
        <v>1931</v>
      </c>
      <c r="AS1045" t="s">
        <v>1931</v>
      </c>
      <c r="AT1045" s="1">
        <v>44454</v>
      </c>
      <c r="AU1045" s="1">
        <v>44470</v>
      </c>
    </row>
    <row r="1046" spans="1:47" x14ac:dyDescent="0.3">
      <c r="A1046" t="s">
        <v>47</v>
      </c>
      <c r="B1046" t="s">
        <v>224</v>
      </c>
      <c r="C1046" t="s">
        <v>225</v>
      </c>
      <c r="D1046">
        <v>9142</v>
      </c>
      <c r="E1046" t="s">
        <v>910</v>
      </c>
      <c r="F1046" t="s">
        <v>1925</v>
      </c>
      <c r="G1046" t="s">
        <v>723</v>
      </c>
      <c r="H1046" t="s">
        <v>1933</v>
      </c>
      <c r="I1046" t="s">
        <v>54</v>
      </c>
      <c r="J1046" t="s">
        <v>1934</v>
      </c>
      <c r="K1046" t="s">
        <v>56</v>
      </c>
      <c r="L1046">
        <v>0</v>
      </c>
      <c r="M1046" t="s">
        <v>73</v>
      </c>
      <c r="N1046">
        <v>0</v>
      </c>
      <c r="O1046" t="s">
        <v>58</v>
      </c>
      <c r="P1046" t="s">
        <v>59</v>
      </c>
      <c r="Q1046" t="s">
        <v>216</v>
      </c>
      <c r="R1046" t="s">
        <v>1934</v>
      </c>
      <c r="S1046" s="1">
        <v>44448</v>
      </c>
      <c r="T1046" s="1">
        <v>44448</v>
      </c>
      <c r="U1046">
        <v>37501</v>
      </c>
      <c r="V1046" t="s">
        <v>61</v>
      </c>
      <c r="W1046" t="s">
        <v>1935</v>
      </c>
      <c r="X1046" s="1">
        <v>44449</v>
      </c>
      <c r="Y1046" t="s">
        <v>63</v>
      </c>
      <c r="Z1046">
        <v>110.36</v>
      </c>
      <c r="AA1046">
        <v>16</v>
      </c>
      <c r="AB1046">
        <v>2.14</v>
      </c>
      <c r="AC1046">
        <v>0</v>
      </c>
      <c r="AD1046">
        <v>112.5</v>
      </c>
      <c r="AE1046">
        <v>523.62</v>
      </c>
      <c r="AF1046">
        <v>545</v>
      </c>
      <c r="AG1046" t="s">
        <v>1929</v>
      </c>
      <c r="AH1046" t="s">
        <v>65</v>
      </c>
      <c r="AI1046" t="s">
        <v>65</v>
      </c>
      <c r="AJ1046" t="s">
        <v>66</v>
      </c>
      <c r="AK1046" t="s">
        <v>66</v>
      </c>
      <c r="AL1046" t="s">
        <v>66</v>
      </c>
      <c r="AM1046" s="2" t="str">
        <f>HYPERLINK("https://transparencia.cidesi.mx/comprobantes/2021/CQ2100783 /C1FACTURA_1631308987610_344385929.pdf")</f>
        <v>https://transparencia.cidesi.mx/comprobantes/2021/CQ2100783 /C1FACTURA_1631308987610_344385929.pdf</v>
      </c>
      <c r="AN1046" t="str">
        <f>HYPERLINK("https://transparencia.cidesi.mx/comprobantes/2021/CQ2100783 /C1FACTURA_1631308987610_344385929.pdf")</f>
        <v>https://transparencia.cidesi.mx/comprobantes/2021/CQ2100783 /C1FACTURA_1631308987610_344385929.pdf</v>
      </c>
      <c r="AO1046" t="str">
        <f>HYPERLINK("https://transparencia.cidesi.mx/comprobantes/2021/CQ2100783 /C1FACTURA_1631308992850_344385929.xml")</f>
        <v>https://transparencia.cidesi.mx/comprobantes/2021/CQ2100783 /C1FACTURA_1631308992850_344385929.xml</v>
      </c>
      <c r="AP1046" t="s">
        <v>1934</v>
      </c>
      <c r="AQ1046" t="s">
        <v>1934</v>
      </c>
      <c r="AR1046" t="s">
        <v>1934</v>
      </c>
      <c r="AS1046" t="s">
        <v>1934</v>
      </c>
      <c r="AT1046" s="1">
        <v>44454</v>
      </c>
      <c r="AU1046" s="1">
        <v>44470</v>
      </c>
    </row>
    <row r="1047" spans="1:47" x14ac:dyDescent="0.3">
      <c r="A1047" t="s">
        <v>47</v>
      </c>
      <c r="B1047" t="s">
        <v>224</v>
      </c>
      <c r="C1047" t="s">
        <v>225</v>
      </c>
      <c r="D1047">
        <v>9142</v>
      </c>
      <c r="E1047" t="s">
        <v>910</v>
      </c>
      <c r="F1047" t="s">
        <v>1925</v>
      </c>
      <c r="G1047" t="s">
        <v>723</v>
      </c>
      <c r="H1047" t="s">
        <v>1933</v>
      </c>
      <c r="I1047" t="s">
        <v>54</v>
      </c>
      <c r="J1047" t="s">
        <v>1934</v>
      </c>
      <c r="K1047" t="s">
        <v>56</v>
      </c>
      <c r="L1047">
        <v>0</v>
      </c>
      <c r="M1047" t="s">
        <v>73</v>
      </c>
      <c r="N1047">
        <v>0</v>
      </c>
      <c r="O1047" t="s">
        <v>58</v>
      </c>
      <c r="P1047" t="s">
        <v>59</v>
      </c>
      <c r="Q1047" t="s">
        <v>216</v>
      </c>
      <c r="R1047" t="s">
        <v>1934</v>
      </c>
      <c r="S1047" s="1">
        <v>44448</v>
      </c>
      <c r="T1047" s="1">
        <v>44448</v>
      </c>
      <c r="U1047">
        <v>37501</v>
      </c>
      <c r="V1047" t="s">
        <v>61</v>
      </c>
      <c r="W1047" t="s">
        <v>1935</v>
      </c>
      <c r="X1047" s="1">
        <v>44449</v>
      </c>
      <c r="Y1047" t="s">
        <v>63</v>
      </c>
      <c r="Z1047">
        <v>322.2</v>
      </c>
      <c r="AA1047">
        <v>16</v>
      </c>
      <c r="AB1047">
        <v>51.55</v>
      </c>
      <c r="AC1047">
        <v>37.369999999999997</v>
      </c>
      <c r="AD1047">
        <v>411.12</v>
      </c>
      <c r="AE1047">
        <v>523.62</v>
      </c>
      <c r="AF1047">
        <v>545</v>
      </c>
      <c r="AG1047" t="s">
        <v>1929</v>
      </c>
      <c r="AH1047" t="s">
        <v>65</v>
      </c>
      <c r="AI1047" t="s">
        <v>65</v>
      </c>
      <c r="AJ1047" t="s">
        <v>66</v>
      </c>
      <c r="AK1047" t="s">
        <v>66</v>
      </c>
      <c r="AL1047" t="s">
        <v>66</v>
      </c>
      <c r="AM1047" s="2" t="str">
        <f>HYPERLINK("https://transparencia.cidesi.mx/comprobantes/2021/CQ2100783 /C2D483497D-E443-45AE-AF5F-D4F6F0C5081C.pdf")</f>
        <v>https://transparencia.cidesi.mx/comprobantes/2021/CQ2100783 /C2D483497D-E443-45AE-AF5F-D4F6F0C5081C.pdf</v>
      </c>
      <c r="AN1047" t="str">
        <f>HYPERLINK("https://transparencia.cidesi.mx/comprobantes/2021/CQ2100783 /C2D483497D-E443-45AE-AF5F-D4F6F0C5081C.pdf")</f>
        <v>https://transparencia.cidesi.mx/comprobantes/2021/CQ2100783 /C2D483497D-E443-45AE-AF5F-D4F6F0C5081C.pdf</v>
      </c>
      <c r="AO1047" t="str">
        <f>HYPERLINK("https://transparencia.cidesi.mx/comprobantes/2021/CQ2100783 /C2D483497D-E443-45AE-AF5F-D4F6F0C5081C.xml")</f>
        <v>https://transparencia.cidesi.mx/comprobantes/2021/CQ2100783 /C2D483497D-E443-45AE-AF5F-D4F6F0C5081C.xml</v>
      </c>
      <c r="AP1047" t="s">
        <v>1934</v>
      </c>
      <c r="AQ1047" t="s">
        <v>1934</v>
      </c>
      <c r="AR1047" t="s">
        <v>1934</v>
      </c>
      <c r="AS1047" t="s">
        <v>1934</v>
      </c>
      <c r="AT1047" s="1">
        <v>44454</v>
      </c>
      <c r="AU1047" s="1">
        <v>44470</v>
      </c>
    </row>
    <row r="1048" spans="1:47" x14ac:dyDescent="0.3">
      <c r="A1048" t="s">
        <v>47</v>
      </c>
      <c r="B1048" t="s">
        <v>224</v>
      </c>
      <c r="C1048" t="s">
        <v>225</v>
      </c>
      <c r="D1048">
        <v>9142</v>
      </c>
      <c r="E1048" t="s">
        <v>910</v>
      </c>
      <c r="F1048" t="s">
        <v>1925</v>
      </c>
      <c r="G1048" t="s">
        <v>723</v>
      </c>
      <c r="H1048" t="s">
        <v>1936</v>
      </c>
      <c r="I1048" t="s">
        <v>54</v>
      </c>
      <c r="J1048" t="s">
        <v>1937</v>
      </c>
      <c r="K1048" t="s">
        <v>56</v>
      </c>
      <c r="L1048">
        <v>0</v>
      </c>
      <c r="M1048" t="s">
        <v>73</v>
      </c>
      <c r="N1048">
        <v>0</v>
      </c>
      <c r="O1048" t="s">
        <v>58</v>
      </c>
      <c r="P1048" t="s">
        <v>59</v>
      </c>
      <c r="Q1048" t="s">
        <v>1284</v>
      </c>
      <c r="R1048" t="s">
        <v>1937</v>
      </c>
      <c r="S1048" s="1">
        <v>44452</v>
      </c>
      <c r="T1048" s="1">
        <v>44452</v>
      </c>
      <c r="U1048">
        <v>37501</v>
      </c>
      <c r="V1048" t="s">
        <v>61</v>
      </c>
      <c r="W1048" t="s">
        <v>1938</v>
      </c>
      <c r="X1048" s="1">
        <v>44454</v>
      </c>
      <c r="Y1048" t="s">
        <v>63</v>
      </c>
      <c r="Z1048">
        <v>396.55</v>
      </c>
      <c r="AA1048">
        <v>16</v>
      </c>
      <c r="AB1048">
        <v>63.45</v>
      </c>
      <c r="AC1048">
        <v>0</v>
      </c>
      <c r="AD1048">
        <v>460</v>
      </c>
      <c r="AE1048">
        <v>460</v>
      </c>
      <c r="AF1048">
        <v>545</v>
      </c>
      <c r="AG1048" t="s">
        <v>1929</v>
      </c>
      <c r="AH1048" t="s">
        <v>65</v>
      </c>
      <c r="AI1048" t="s">
        <v>65</v>
      </c>
      <c r="AJ1048" t="s">
        <v>66</v>
      </c>
      <c r="AK1048" t="s">
        <v>66</v>
      </c>
      <c r="AL1048" t="s">
        <v>66</v>
      </c>
      <c r="AM1048" s="2" t="str">
        <f>HYPERLINK("https://transparencia.cidesi.mx/comprobantes/2021/CQ2100816 /C1CID840309UG7FF0000006387.pdf")</f>
        <v>https://transparencia.cidesi.mx/comprobantes/2021/CQ2100816 /C1CID840309UG7FF0000006387.pdf</v>
      </c>
      <c r="AN1048" t="str">
        <f>HYPERLINK("https://transparencia.cidesi.mx/comprobantes/2021/CQ2100816 /C1CID840309UG7FF0000006387.pdf")</f>
        <v>https://transparencia.cidesi.mx/comprobantes/2021/CQ2100816 /C1CID840309UG7FF0000006387.pdf</v>
      </c>
      <c r="AO1048" t="str">
        <f>HYPERLINK("https://transparencia.cidesi.mx/comprobantes/2021/CQ2100816 /C1CID840309UG7FF0000006387.xml")</f>
        <v>https://transparencia.cidesi.mx/comprobantes/2021/CQ2100816 /C1CID840309UG7FF0000006387.xml</v>
      </c>
      <c r="AP1048" t="s">
        <v>1937</v>
      </c>
      <c r="AQ1048" t="s">
        <v>1937</v>
      </c>
      <c r="AR1048" t="s">
        <v>1937</v>
      </c>
      <c r="AS1048" t="s">
        <v>1937</v>
      </c>
      <c r="AT1048" s="1">
        <v>44460</v>
      </c>
      <c r="AU1048" s="1">
        <v>44470</v>
      </c>
    </row>
    <row r="1049" spans="1:47" x14ac:dyDescent="0.3">
      <c r="A1049" t="s">
        <v>47</v>
      </c>
      <c r="B1049" t="s">
        <v>224</v>
      </c>
      <c r="C1049" t="s">
        <v>225</v>
      </c>
      <c r="D1049">
        <v>9142</v>
      </c>
      <c r="E1049" t="s">
        <v>910</v>
      </c>
      <c r="F1049" t="s">
        <v>1925</v>
      </c>
      <c r="G1049" t="s">
        <v>723</v>
      </c>
      <c r="H1049" t="s">
        <v>1939</v>
      </c>
      <c r="I1049" t="s">
        <v>54</v>
      </c>
      <c r="J1049" t="s">
        <v>1940</v>
      </c>
      <c r="K1049" t="s">
        <v>56</v>
      </c>
      <c r="L1049">
        <v>0</v>
      </c>
      <c r="M1049" t="s">
        <v>73</v>
      </c>
      <c r="N1049">
        <v>0</v>
      </c>
      <c r="O1049" t="s">
        <v>58</v>
      </c>
      <c r="P1049" t="s">
        <v>59</v>
      </c>
      <c r="Q1049" t="s">
        <v>1284</v>
      </c>
      <c r="R1049" t="s">
        <v>1940</v>
      </c>
      <c r="S1049" s="1">
        <v>44453</v>
      </c>
      <c r="T1049" s="1">
        <v>44453</v>
      </c>
      <c r="U1049">
        <v>37501</v>
      </c>
      <c r="V1049" t="s">
        <v>61</v>
      </c>
      <c r="W1049" t="s">
        <v>1941</v>
      </c>
      <c r="X1049" s="1">
        <v>44454</v>
      </c>
      <c r="Y1049" t="s">
        <v>63</v>
      </c>
      <c r="Z1049">
        <v>374.78</v>
      </c>
      <c r="AA1049">
        <v>16</v>
      </c>
      <c r="AB1049">
        <v>59.97</v>
      </c>
      <c r="AC1049">
        <v>0</v>
      </c>
      <c r="AD1049">
        <v>434.75</v>
      </c>
      <c r="AE1049">
        <v>489.75</v>
      </c>
      <c r="AF1049">
        <v>545</v>
      </c>
      <c r="AG1049" t="s">
        <v>1929</v>
      </c>
      <c r="AH1049" t="s">
        <v>65</v>
      </c>
      <c r="AI1049" t="s">
        <v>65</v>
      </c>
      <c r="AJ1049" t="s">
        <v>66</v>
      </c>
      <c r="AK1049" t="s">
        <v>66</v>
      </c>
      <c r="AL1049" t="s">
        <v>66</v>
      </c>
      <c r="AM1049" s="2" t="str">
        <f>HYPERLINK("https://transparencia.cidesi.mx/comprobantes/2021/CQ2100817 /C1FACTURAA24534.pdf")</f>
        <v>https://transparencia.cidesi.mx/comprobantes/2021/CQ2100817 /C1FACTURAA24534.pdf</v>
      </c>
      <c r="AN1049" t="str">
        <f>HYPERLINK("https://transparencia.cidesi.mx/comprobantes/2021/CQ2100817 /C1FACTURAA24534.pdf")</f>
        <v>https://transparencia.cidesi.mx/comprobantes/2021/CQ2100817 /C1FACTURAA24534.pdf</v>
      </c>
      <c r="AO1049" t="str">
        <f>HYPERLINK("https://transparencia.cidesi.mx/comprobantes/2021/CQ2100817 /C1FACTURAA24534.xml")</f>
        <v>https://transparencia.cidesi.mx/comprobantes/2021/CQ2100817 /C1FACTURAA24534.xml</v>
      </c>
      <c r="AP1049" t="s">
        <v>1940</v>
      </c>
      <c r="AQ1049" t="s">
        <v>1940</v>
      </c>
      <c r="AR1049" t="s">
        <v>1940</v>
      </c>
      <c r="AS1049" t="s">
        <v>1940</v>
      </c>
      <c r="AT1049" s="1">
        <v>44460</v>
      </c>
      <c r="AU1049" s="1">
        <v>44470</v>
      </c>
    </row>
    <row r="1050" spans="1:47" x14ac:dyDescent="0.3">
      <c r="A1050" t="s">
        <v>47</v>
      </c>
      <c r="B1050" t="s">
        <v>224</v>
      </c>
      <c r="C1050" t="s">
        <v>225</v>
      </c>
      <c r="D1050">
        <v>9142</v>
      </c>
      <c r="E1050" t="s">
        <v>910</v>
      </c>
      <c r="F1050" t="s">
        <v>1925</v>
      </c>
      <c r="G1050" t="s">
        <v>723</v>
      </c>
      <c r="H1050" t="s">
        <v>1939</v>
      </c>
      <c r="I1050" t="s">
        <v>54</v>
      </c>
      <c r="J1050" t="s">
        <v>1940</v>
      </c>
      <c r="K1050" t="s">
        <v>56</v>
      </c>
      <c r="L1050">
        <v>0</v>
      </c>
      <c r="M1050" t="s">
        <v>73</v>
      </c>
      <c r="N1050">
        <v>0</v>
      </c>
      <c r="O1050" t="s">
        <v>58</v>
      </c>
      <c r="P1050" t="s">
        <v>59</v>
      </c>
      <c r="Q1050" t="s">
        <v>1284</v>
      </c>
      <c r="R1050" t="s">
        <v>1940</v>
      </c>
      <c r="S1050" s="1">
        <v>44453</v>
      </c>
      <c r="T1050" s="1">
        <v>44453</v>
      </c>
      <c r="U1050">
        <v>37501</v>
      </c>
      <c r="V1050" t="s">
        <v>61</v>
      </c>
      <c r="W1050" t="s">
        <v>1941</v>
      </c>
      <c r="X1050" s="1">
        <v>44454</v>
      </c>
      <c r="Y1050" t="s">
        <v>63</v>
      </c>
      <c r="Z1050">
        <v>55</v>
      </c>
      <c r="AA1050">
        <v>0</v>
      </c>
      <c r="AB1050">
        <v>0</v>
      </c>
      <c r="AC1050">
        <v>0</v>
      </c>
      <c r="AD1050">
        <v>55</v>
      </c>
      <c r="AE1050">
        <v>489.75</v>
      </c>
      <c r="AF1050">
        <v>545</v>
      </c>
      <c r="AG1050" t="s">
        <v>1929</v>
      </c>
      <c r="AH1050" t="s">
        <v>65</v>
      </c>
      <c r="AI1050" t="s">
        <v>65</v>
      </c>
      <c r="AJ1050" t="s">
        <v>66</v>
      </c>
      <c r="AK1050" t="s">
        <v>66</v>
      </c>
      <c r="AL1050" t="s">
        <v>66</v>
      </c>
      <c r="AM1050" s="2" t="str">
        <f>HYPERLINK("https://transparencia.cidesi.mx/comprobantes/2021/CQ2100817 /C2FACTURA_1631721196605_344797315.pdf")</f>
        <v>https://transparencia.cidesi.mx/comprobantes/2021/CQ2100817 /C2FACTURA_1631721196605_344797315.pdf</v>
      </c>
      <c r="AN1050" t="str">
        <f>HYPERLINK("https://transparencia.cidesi.mx/comprobantes/2021/CQ2100817 /C2FACTURA_1631721196605_344797315.pdf")</f>
        <v>https://transparencia.cidesi.mx/comprobantes/2021/CQ2100817 /C2FACTURA_1631721196605_344797315.pdf</v>
      </c>
      <c r="AO1050" t="str">
        <f>HYPERLINK("https://transparencia.cidesi.mx/comprobantes/2021/CQ2100817 /C2FACTURA_1631721201025_344797315.xml")</f>
        <v>https://transparencia.cidesi.mx/comprobantes/2021/CQ2100817 /C2FACTURA_1631721201025_344797315.xml</v>
      </c>
      <c r="AP1050" t="s">
        <v>1940</v>
      </c>
      <c r="AQ1050" t="s">
        <v>1940</v>
      </c>
      <c r="AR1050" t="s">
        <v>1940</v>
      </c>
      <c r="AS1050" t="s">
        <v>1940</v>
      </c>
      <c r="AT1050" s="1">
        <v>44460</v>
      </c>
      <c r="AU1050" s="1">
        <v>44470</v>
      </c>
    </row>
    <row r="1051" spans="1:47" x14ac:dyDescent="0.3">
      <c r="A1051" t="s">
        <v>47</v>
      </c>
      <c r="B1051" t="s">
        <v>224</v>
      </c>
      <c r="C1051" t="s">
        <v>225</v>
      </c>
      <c r="D1051">
        <v>9142</v>
      </c>
      <c r="E1051" t="s">
        <v>910</v>
      </c>
      <c r="F1051" t="s">
        <v>1925</v>
      </c>
      <c r="G1051" t="s">
        <v>723</v>
      </c>
      <c r="H1051" t="s">
        <v>1942</v>
      </c>
      <c r="I1051" t="s">
        <v>54</v>
      </c>
      <c r="J1051" t="s">
        <v>1943</v>
      </c>
      <c r="K1051" t="s">
        <v>56</v>
      </c>
      <c r="L1051">
        <v>0</v>
      </c>
      <c r="M1051" t="s">
        <v>73</v>
      </c>
      <c r="N1051">
        <v>0</v>
      </c>
      <c r="O1051" t="s">
        <v>58</v>
      </c>
      <c r="P1051" t="s">
        <v>59</v>
      </c>
      <c r="Q1051" t="s">
        <v>216</v>
      </c>
      <c r="R1051" t="s">
        <v>1943</v>
      </c>
      <c r="S1051" s="1">
        <v>44455</v>
      </c>
      <c r="T1051" s="1">
        <v>44455</v>
      </c>
      <c r="U1051">
        <v>37501</v>
      </c>
      <c r="V1051" t="s">
        <v>61</v>
      </c>
      <c r="W1051" t="s">
        <v>1944</v>
      </c>
      <c r="X1051" s="1">
        <v>44459</v>
      </c>
      <c r="Y1051" t="s">
        <v>63</v>
      </c>
      <c r="Z1051">
        <v>405.18</v>
      </c>
      <c r="AA1051">
        <v>16</v>
      </c>
      <c r="AB1051">
        <v>64.819999999999993</v>
      </c>
      <c r="AC1051">
        <v>47</v>
      </c>
      <c r="AD1051">
        <v>517</v>
      </c>
      <c r="AE1051">
        <v>517</v>
      </c>
      <c r="AF1051">
        <v>545</v>
      </c>
      <c r="AG1051" t="s">
        <v>1929</v>
      </c>
      <c r="AH1051" t="s">
        <v>65</v>
      </c>
      <c r="AI1051" t="s">
        <v>65</v>
      </c>
      <c r="AJ1051" t="s">
        <v>66</v>
      </c>
      <c r="AK1051" t="s">
        <v>66</v>
      </c>
      <c r="AL1051" t="s">
        <v>66</v>
      </c>
      <c r="AM1051" s="2" t="str">
        <f>HYPERLINK("https://transparencia.cidesi.mx/comprobantes/2021/CQ2100824 /C1D90C54FB-215E-4A38-B52F-4D9C10FCEDC7.pdf")</f>
        <v>https://transparencia.cidesi.mx/comprobantes/2021/CQ2100824 /C1D90C54FB-215E-4A38-B52F-4D9C10FCEDC7.pdf</v>
      </c>
      <c r="AN1051" t="str">
        <f>HYPERLINK("https://transparencia.cidesi.mx/comprobantes/2021/CQ2100824 /C1D90C54FB-215E-4A38-B52F-4D9C10FCEDC7.pdf")</f>
        <v>https://transparencia.cidesi.mx/comprobantes/2021/CQ2100824 /C1D90C54FB-215E-4A38-B52F-4D9C10FCEDC7.pdf</v>
      </c>
      <c r="AO1051" t="str">
        <f>HYPERLINK("https://transparencia.cidesi.mx/comprobantes/2021/CQ2100824 /C1D90C54FB-215E-4A38-B52F-4D9C10FCEDC7.xml")</f>
        <v>https://transparencia.cidesi.mx/comprobantes/2021/CQ2100824 /C1D90C54FB-215E-4A38-B52F-4D9C10FCEDC7.xml</v>
      </c>
      <c r="AP1051" t="s">
        <v>1943</v>
      </c>
      <c r="AQ1051" t="s">
        <v>1943</v>
      </c>
      <c r="AR1051" t="s">
        <v>1943</v>
      </c>
      <c r="AS1051" t="s">
        <v>1943</v>
      </c>
      <c r="AT1051" s="1">
        <v>44460</v>
      </c>
      <c r="AU1051" s="1">
        <v>44470</v>
      </c>
    </row>
    <row r="1052" spans="1:47" x14ac:dyDescent="0.3">
      <c r="A1052" t="s">
        <v>47</v>
      </c>
      <c r="B1052" t="s">
        <v>224</v>
      </c>
      <c r="C1052" t="s">
        <v>225</v>
      </c>
      <c r="D1052">
        <v>9142</v>
      </c>
      <c r="E1052" t="s">
        <v>910</v>
      </c>
      <c r="F1052" t="s">
        <v>1925</v>
      </c>
      <c r="G1052" t="s">
        <v>723</v>
      </c>
      <c r="H1052" t="s">
        <v>1945</v>
      </c>
      <c r="I1052" t="s">
        <v>54</v>
      </c>
      <c r="J1052" t="s">
        <v>1946</v>
      </c>
      <c r="K1052" t="s">
        <v>56</v>
      </c>
      <c r="L1052">
        <v>0</v>
      </c>
      <c r="M1052" t="s">
        <v>73</v>
      </c>
      <c r="N1052">
        <v>0</v>
      </c>
      <c r="O1052" t="s">
        <v>58</v>
      </c>
      <c r="P1052" t="s">
        <v>59</v>
      </c>
      <c r="Q1052" t="s">
        <v>1284</v>
      </c>
      <c r="R1052" t="s">
        <v>1946</v>
      </c>
      <c r="S1052" s="1">
        <v>44456</v>
      </c>
      <c r="T1052" s="1">
        <v>44456</v>
      </c>
      <c r="U1052">
        <v>37501</v>
      </c>
      <c r="V1052" t="s">
        <v>61</v>
      </c>
      <c r="W1052" t="s">
        <v>1947</v>
      </c>
      <c r="X1052" s="1">
        <v>44459</v>
      </c>
      <c r="Y1052" t="s">
        <v>63</v>
      </c>
      <c r="Z1052">
        <v>387.93</v>
      </c>
      <c r="AA1052">
        <v>16</v>
      </c>
      <c r="AB1052">
        <v>62.07</v>
      </c>
      <c r="AC1052">
        <v>0</v>
      </c>
      <c r="AD1052">
        <v>450</v>
      </c>
      <c r="AE1052">
        <v>532</v>
      </c>
      <c r="AF1052">
        <v>545</v>
      </c>
      <c r="AG1052" t="s">
        <v>1929</v>
      </c>
      <c r="AH1052" t="s">
        <v>65</v>
      </c>
      <c r="AI1052" t="s">
        <v>65</v>
      </c>
      <c r="AJ1052" t="s">
        <v>66</v>
      </c>
      <c r="AK1052" t="s">
        <v>66</v>
      </c>
      <c r="AL1052" t="s">
        <v>66</v>
      </c>
      <c r="AM1052" s="2" t="str">
        <f>HYPERLINK("https://transparencia.cidesi.mx/comprobantes/2021/CQ2100825 /C1CID840309UG7FF0000006412.pdf")</f>
        <v>https://transparencia.cidesi.mx/comprobantes/2021/CQ2100825 /C1CID840309UG7FF0000006412.pdf</v>
      </c>
      <c r="AN1052" t="str">
        <f>HYPERLINK("https://transparencia.cidesi.mx/comprobantes/2021/CQ2100825 /C1CID840309UG7FF0000006412.pdf")</f>
        <v>https://transparencia.cidesi.mx/comprobantes/2021/CQ2100825 /C1CID840309UG7FF0000006412.pdf</v>
      </c>
      <c r="AO1052" t="str">
        <f>HYPERLINK("https://transparencia.cidesi.mx/comprobantes/2021/CQ2100825 /C1CID840309UG7FF0000006412.xml")</f>
        <v>https://transparencia.cidesi.mx/comprobantes/2021/CQ2100825 /C1CID840309UG7FF0000006412.xml</v>
      </c>
      <c r="AP1052" t="s">
        <v>1946</v>
      </c>
      <c r="AQ1052" t="s">
        <v>1946</v>
      </c>
      <c r="AR1052" t="s">
        <v>1946</v>
      </c>
      <c r="AS1052" t="s">
        <v>1946</v>
      </c>
      <c r="AT1052" s="1">
        <v>44460</v>
      </c>
      <c r="AU1052" s="1">
        <v>44470</v>
      </c>
    </row>
    <row r="1053" spans="1:47" x14ac:dyDescent="0.3">
      <c r="A1053" t="s">
        <v>47</v>
      </c>
      <c r="B1053" t="s">
        <v>224</v>
      </c>
      <c r="C1053" t="s">
        <v>225</v>
      </c>
      <c r="D1053">
        <v>9142</v>
      </c>
      <c r="E1053" t="s">
        <v>910</v>
      </c>
      <c r="F1053" t="s">
        <v>1925</v>
      </c>
      <c r="G1053" t="s">
        <v>723</v>
      </c>
      <c r="H1053" t="s">
        <v>1945</v>
      </c>
      <c r="I1053" t="s">
        <v>54</v>
      </c>
      <c r="J1053" t="s">
        <v>1946</v>
      </c>
      <c r="K1053" t="s">
        <v>56</v>
      </c>
      <c r="L1053">
        <v>0</v>
      </c>
      <c r="M1053" t="s">
        <v>73</v>
      </c>
      <c r="N1053">
        <v>0</v>
      </c>
      <c r="O1053" t="s">
        <v>58</v>
      </c>
      <c r="P1053" t="s">
        <v>59</v>
      </c>
      <c r="Q1053" t="s">
        <v>1284</v>
      </c>
      <c r="R1053" t="s">
        <v>1946</v>
      </c>
      <c r="S1053" s="1">
        <v>44456</v>
      </c>
      <c r="T1053" s="1">
        <v>44456</v>
      </c>
      <c r="U1053">
        <v>37501</v>
      </c>
      <c r="V1053" t="s">
        <v>61</v>
      </c>
      <c r="W1053" t="s">
        <v>1947</v>
      </c>
      <c r="X1053" s="1">
        <v>44459</v>
      </c>
      <c r="Y1053" t="s">
        <v>63</v>
      </c>
      <c r="Z1053">
        <v>82</v>
      </c>
      <c r="AA1053">
        <v>0</v>
      </c>
      <c r="AB1053">
        <v>0</v>
      </c>
      <c r="AC1053">
        <v>0</v>
      </c>
      <c r="AD1053">
        <v>82</v>
      </c>
      <c r="AE1053">
        <v>532</v>
      </c>
      <c r="AF1053">
        <v>545</v>
      </c>
      <c r="AG1053" t="s">
        <v>1929</v>
      </c>
      <c r="AH1053" t="s">
        <v>65</v>
      </c>
      <c r="AI1053" t="s">
        <v>65</v>
      </c>
      <c r="AJ1053" t="s">
        <v>66</v>
      </c>
      <c r="AK1053" t="s">
        <v>66</v>
      </c>
      <c r="AL1053" t="s">
        <v>66</v>
      </c>
      <c r="AM1053" s="2" t="str">
        <f>HYPERLINK("https://transparencia.cidesi.mx/comprobantes/2021/CQ2100825 /C2FACTURA_1632141708749_345186399.pdf")</f>
        <v>https://transparencia.cidesi.mx/comprobantes/2021/CQ2100825 /C2FACTURA_1632141708749_345186399.pdf</v>
      </c>
      <c r="AN1053" t="str">
        <f>HYPERLINK("https://transparencia.cidesi.mx/comprobantes/2021/CQ2100825 /C2FACTURA_1632141708749_345186399.pdf")</f>
        <v>https://transparencia.cidesi.mx/comprobantes/2021/CQ2100825 /C2FACTURA_1632141708749_345186399.pdf</v>
      </c>
      <c r="AO1053" t="str">
        <f>HYPERLINK("https://transparencia.cidesi.mx/comprobantes/2021/CQ2100825 /C2FACTURA_1632141707000_345186399.xml")</f>
        <v>https://transparencia.cidesi.mx/comprobantes/2021/CQ2100825 /C2FACTURA_1632141707000_345186399.xml</v>
      </c>
      <c r="AP1053" t="s">
        <v>1946</v>
      </c>
      <c r="AQ1053" t="s">
        <v>1946</v>
      </c>
      <c r="AR1053" t="s">
        <v>1946</v>
      </c>
      <c r="AS1053" t="s">
        <v>1946</v>
      </c>
      <c r="AT1053" s="1">
        <v>44460</v>
      </c>
      <c r="AU1053" s="1">
        <v>44470</v>
      </c>
    </row>
    <row r="1054" spans="1:47" x14ac:dyDescent="0.3">
      <c r="A1054" t="s">
        <v>47</v>
      </c>
      <c r="B1054" t="s">
        <v>224</v>
      </c>
      <c r="C1054" t="s">
        <v>225</v>
      </c>
      <c r="D1054">
        <v>9142</v>
      </c>
      <c r="E1054" t="s">
        <v>910</v>
      </c>
      <c r="F1054" t="s">
        <v>1925</v>
      </c>
      <c r="G1054" t="s">
        <v>723</v>
      </c>
      <c r="H1054" t="s">
        <v>1948</v>
      </c>
      <c r="I1054" t="s">
        <v>54</v>
      </c>
      <c r="J1054" t="s">
        <v>1949</v>
      </c>
      <c r="K1054" t="s">
        <v>56</v>
      </c>
      <c r="L1054">
        <v>0</v>
      </c>
      <c r="M1054" t="s">
        <v>73</v>
      </c>
      <c r="N1054">
        <v>0</v>
      </c>
      <c r="O1054" t="s">
        <v>58</v>
      </c>
      <c r="P1054" t="s">
        <v>59</v>
      </c>
      <c r="Q1054" t="s">
        <v>1284</v>
      </c>
      <c r="R1054" t="s">
        <v>1949</v>
      </c>
      <c r="S1054" s="1">
        <v>44459</v>
      </c>
      <c r="T1054" s="1">
        <v>44459</v>
      </c>
      <c r="U1054">
        <v>37501</v>
      </c>
      <c r="V1054" t="s">
        <v>61</v>
      </c>
      <c r="W1054" t="s">
        <v>1950</v>
      </c>
      <c r="X1054" s="1">
        <v>44463</v>
      </c>
      <c r="Y1054" t="s">
        <v>63</v>
      </c>
      <c r="Z1054">
        <v>40.520000000000003</v>
      </c>
      <c r="AA1054">
        <v>16</v>
      </c>
      <c r="AB1054">
        <v>6.48</v>
      </c>
      <c r="AC1054">
        <v>0</v>
      </c>
      <c r="AD1054">
        <v>47</v>
      </c>
      <c r="AE1054">
        <v>479</v>
      </c>
      <c r="AF1054">
        <v>545</v>
      </c>
      <c r="AG1054" t="s">
        <v>1929</v>
      </c>
      <c r="AH1054" t="s">
        <v>65</v>
      </c>
      <c r="AI1054" t="s">
        <v>65</v>
      </c>
      <c r="AJ1054" t="s">
        <v>66</v>
      </c>
      <c r="AK1054" t="s">
        <v>66</v>
      </c>
      <c r="AL1054" t="s">
        <v>66</v>
      </c>
      <c r="AM1054" s="2" t="str">
        <f>HYPERLINK("https://transparencia.cidesi.mx/comprobantes/2021/CQ2100874 /C1FACTURA_1632488654155_345732339.pdf")</f>
        <v>https://transparencia.cidesi.mx/comprobantes/2021/CQ2100874 /C1FACTURA_1632488654155_345732339.pdf</v>
      </c>
      <c r="AN1054" t="str">
        <f>HYPERLINK("https://transparencia.cidesi.mx/comprobantes/2021/CQ2100874 /C1FACTURA_1632488654155_345732339.pdf")</f>
        <v>https://transparencia.cidesi.mx/comprobantes/2021/CQ2100874 /C1FACTURA_1632488654155_345732339.pdf</v>
      </c>
      <c r="AO1054" t="str">
        <f>HYPERLINK("https://transparencia.cidesi.mx/comprobantes/2021/CQ2100874 /C1FACTURA_1632488655035_345732339.xml")</f>
        <v>https://transparencia.cidesi.mx/comprobantes/2021/CQ2100874 /C1FACTURA_1632488655035_345732339.xml</v>
      </c>
      <c r="AP1054" t="s">
        <v>1949</v>
      </c>
      <c r="AQ1054" t="s">
        <v>1949</v>
      </c>
      <c r="AR1054" t="s">
        <v>1949</v>
      </c>
      <c r="AS1054" t="s">
        <v>1949</v>
      </c>
      <c r="AT1054" s="1">
        <v>44466</v>
      </c>
      <c r="AU1054" s="1">
        <v>44470</v>
      </c>
    </row>
    <row r="1055" spans="1:47" x14ac:dyDescent="0.3">
      <c r="A1055" t="s">
        <v>47</v>
      </c>
      <c r="B1055" t="s">
        <v>224</v>
      </c>
      <c r="C1055" t="s">
        <v>225</v>
      </c>
      <c r="D1055">
        <v>9142</v>
      </c>
      <c r="E1055" t="s">
        <v>910</v>
      </c>
      <c r="F1055" t="s">
        <v>1925</v>
      </c>
      <c r="G1055" t="s">
        <v>723</v>
      </c>
      <c r="H1055" t="s">
        <v>1948</v>
      </c>
      <c r="I1055" t="s">
        <v>54</v>
      </c>
      <c r="J1055" t="s">
        <v>1949</v>
      </c>
      <c r="K1055" t="s">
        <v>56</v>
      </c>
      <c r="L1055">
        <v>0</v>
      </c>
      <c r="M1055" t="s">
        <v>73</v>
      </c>
      <c r="N1055">
        <v>0</v>
      </c>
      <c r="O1055" t="s">
        <v>58</v>
      </c>
      <c r="P1055" t="s">
        <v>59</v>
      </c>
      <c r="Q1055" t="s">
        <v>1284</v>
      </c>
      <c r="R1055" t="s">
        <v>1949</v>
      </c>
      <c r="S1055" s="1">
        <v>44459</v>
      </c>
      <c r="T1055" s="1">
        <v>44459</v>
      </c>
      <c r="U1055">
        <v>37501</v>
      </c>
      <c r="V1055" t="s">
        <v>61</v>
      </c>
      <c r="W1055" t="s">
        <v>1950</v>
      </c>
      <c r="X1055" s="1">
        <v>44463</v>
      </c>
      <c r="Y1055" t="s">
        <v>63</v>
      </c>
      <c r="Z1055">
        <v>338.79</v>
      </c>
      <c r="AA1055">
        <v>16</v>
      </c>
      <c r="AB1055">
        <v>54.21</v>
      </c>
      <c r="AC1055">
        <v>39</v>
      </c>
      <c r="AD1055">
        <v>432</v>
      </c>
      <c r="AE1055">
        <v>479</v>
      </c>
      <c r="AF1055">
        <v>545</v>
      </c>
      <c r="AG1055" t="s">
        <v>1929</v>
      </c>
      <c r="AH1055" t="s">
        <v>65</v>
      </c>
      <c r="AI1055" t="s">
        <v>65</v>
      </c>
      <c r="AJ1055" t="s">
        <v>66</v>
      </c>
      <c r="AK1055" t="s">
        <v>66</v>
      </c>
      <c r="AL1055" t="s">
        <v>66</v>
      </c>
      <c r="AM1055" s="2" t="str">
        <f>HYPERLINK("https://transparencia.cidesi.mx/comprobantes/2021/CQ2100874 /C2GEX0108298K9FB0000091512.pdf")</f>
        <v>https://transparencia.cidesi.mx/comprobantes/2021/CQ2100874 /C2GEX0108298K9FB0000091512.pdf</v>
      </c>
      <c r="AN1055" t="str">
        <f>HYPERLINK("https://transparencia.cidesi.mx/comprobantes/2021/CQ2100874 /C2GEX0108298K9FB0000091512.pdf")</f>
        <v>https://transparencia.cidesi.mx/comprobantes/2021/CQ2100874 /C2GEX0108298K9FB0000091512.pdf</v>
      </c>
      <c r="AO1055" t="str">
        <f>HYPERLINK("https://transparencia.cidesi.mx/comprobantes/2021/CQ2100874 /C2GEX0108298K9FB0000091512.xml")</f>
        <v>https://transparencia.cidesi.mx/comprobantes/2021/CQ2100874 /C2GEX0108298K9FB0000091512.xml</v>
      </c>
      <c r="AP1055" t="s">
        <v>1949</v>
      </c>
      <c r="AQ1055" t="s">
        <v>1949</v>
      </c>
      <c r="AR1055" t="s">
        <v>1949</v>
      </c>
      <c r="AS1055" t="s">
        <v>1949</v>
      </c>
      <c r="AT1055" s="1">
        <v>44466</v>
      </c>
      <c r="AU1055" s="1">
        <v>44470</v>
      </c>
    </row>
    <row r="1056" spans="1:47" x14ac:dyDescent="0.3">
      <c r="A1056" t="s">
        <v>47</v>
      </c>
      <c r="B1056" t="s">
        <v>224</v>
      </c>
      <c r="C1056" t="s">
        <v>225</v>
      </c>
      <c r="D1056">
        <v>9142</v>
      </c>
      <c r="E1056" t="s">
        <v>910</v>
      </c>
      <c r="F1056" t="s">
        <v>1925</v>
      </c>
      <c r="G1056" t="s">
        <v>723</v>
      </c>
      <c r="H1056" t="s">
        <v>1951</v>
      </c>
      <c r="I1056" t="s">
        <v>54</v>
      </c>
      <c r="J1056" t="s">
        <v>1949</v>
      </c>
      <c r="K1056" t="s">
        <v>56</v>
      </c>
      <c r="L1056">
        <v>0</v>
      </c>
      <c r="M1056" t="s">
        <v>73</v>
      </c>
      <c r="N1056">
        <v>0</v>
      </c>
      <c r="O1056" t="s">
        <v>58</v>
      </c>
      <c r="P1056" t="s">
        <v>59</v>
      </c>
      <c r="Q1056" t="s">
        <v>1284</v>
      </c>
      <c r="R1056" t="s">
        <v>1949</v>
      </c>
      <c r="S1056" s="1">
        <v>44460</v>
      </c>
      <c r="T1056" s="1">
        <v>44460</v>
      </c>
      <c r="U1056">
        <v>37501</v>
      </c>
      <c r="V1056" t="s">
        <v>61</v>
      </c>
      <c r="W1056" t="s">
        <v>1952</v>
      </c>
      <c r="X1056" s="1">
        <v>44463</v>
      </c>
      <c r="Y1056" t="s">
        <v>63</v>
      </c>
      <c r="Z1056">
        <v>70</v>
      </c>
      <c r="AA1056">
        <v>0</v>
      </c>
      <c r="AB1056">
        <v>0</v>
      </c>
      <c r="AC1056">
        <v>0</v>
      </c>
      <c r="AD1056">
        <v>70</v>
      </c>
      <c r="AE1056">
        <v>510</v>
      </c>
      <c r="AF1056">
        <v>545</v>
      </c>
      <c r="AG1056" t="s">
        <v>1929</v>
      </c>
      <c r="AH1056" t="s">
        <v>65</v>
      </c>
      <c r="AI1056" t="s">
        <v>65</v>
      </c>
      <c r="AJ1056" t="s">
        <v>66</v>
      </c>
      <c r="AK1056" t="s">
        <v>66</v>
      </c>
      <c r="AL1056" t="s">
        <v>66</v>
      </c>
      <c r="AM1056" s="2" t="str">
        <f>HYPERLINK("https://transparencia.cidesi.mx/comprobantes/2021/CQ2100875 /C1FACTURA_1632488747195_345732473.pdf")</f>
        <v>https://transparencia.cidesi.mx/comprobantes/2021/CQ2100875 /C1FACTURA_1632488747195_345732473.pdf</v>
      </c>
      <c r="AN1056" t="str">
        <f>HYPERLINK("https://transparencia.cidesi.mx/comprobantes/2021/CQ2100875 /C1FACTURA_1632488747195_345732473.pdf")</f>
        <v>https://transparencia.cidesi.mx/comprobantes/2021/CQ2100875 /C1FACTURA_1632488747195_345732473.pdf</v>
      </c>
      <c r="AO1056" t="str">
        <f>HYPERLINK("https://transparencia.cidesi.mx/comprobantes/2021/CQ2100875 /C1FACTURA_1632488745625_345732473.xml")</f>
        <v>https://transparencia.cidesi.mx/comprobantes/2021/CQ2100875 /C1FACTURA_1632488745625_345732473.xml</v>
      </c>
      <c r="AP1056" t="s">
        <v>1949</v>
      </c>
      <c r="AQ1056" t="s">
        <v>1949</v>
      </c>
      <c r="AR1056" t="s">
        <v>1949</v>
      </c>
      <c r="AS1056" t="s">
        <v>1949</v>
      </c>
      <c r="AT1056" s="1">
        <v>44466</v>
      </c>
      <c r="AU1056" s="1">
        <v>44470</v>
      </c>
    </row>
    <row r="1057" spans="1:47" x14ac:dyDescent="0.3">
      <c r="A1057" t="s">
        <v>47</v>
      </c>
      <c r="B1057" t="s">
        <v>224</v>
      </c>
      <c r="C1057" t="s">
        <v>225</v>
      </c>
      <c r="D1057">
        <v>9142</v>
      </c>
      <c r="E1057" t="s">
        <v>910</v>
      </c>
      <c r="F1057" t="s">
        <v>1925</v>
      </c>
      <c r="G1057" t="s">
        <v>723</v>
      </c>
      <c r="H1057" t="s">
        <v>1951</v>
      </c>
      <c r="I1057" t="s">
        <v>54</v>
      </c>
      <c r="J1057" t="s">
        <v>1949</v>
      </c>
      <c r="K1057" t="s">
        <v>56</v>
      </c>
      <c r="L1057">
        <v>0</v>
      </c>
      <c r="M1057" t="s">
        <v>73</v>
      </c>
      <c r="N1057">
        <v>0</v>
      </c>
      <c r="O1057" t="s">
        <v>58</v>
      </c>
      <c r="P1057" t="s">
        <v>59</v>
      </c>
      <c r="Q1057" t="s">
        <v>1284</v>
      </c>
      <c r="R1057" t="s">
        <v>1949</v>
      </c>
      <c r="S1057" s="1">
        <v>44460</v>
      </c>
      <c r="T1057" s="1">
        <v>44460</v>
      </c>
      <c r="U1057">
        <v>37501</v>
      </c>
      <c r="V1057" t="s">
        <v>61</v>
      </c>
      <c r="W1057" t="s">
        <v>1952</v>
      </c>
      <c r="X1057" s="1">
        <v>44463</v>
      </c>
      <c r="Y1057" t="s">
        <v>63</v>
      </c>
      <c r="Z1057">
        <v>379.31</v>
      </c>
      <c r="AA1057">
        <v>16</v>
      </c>
      <c r="AB1057">
        <v>60.69</v>
      </c>
      <c r="AC1057">
        <v>0</v>
      </c>
      <c r="AD1057">
        <v>440</v>
      </c>
      <c r="AE1057">
        <v>510</v>
      </c>
      <c r="AF1057">
        <v>545</v>
      </c>
      <c r="AG1057" t="s">
        <v>1929</v>
      </c>
      <c r="AH1057" t="s">
        <v>65</v>
      </c>
      <c r="AI1057" t="s">
        <v>65</v>
      </c>
      <c r="AJ1057" t="s">
        <v>66</v>
      </c>
      <c r="AK1057" t="s">
        <v>66</v>
      </c>
      <c r="AL1057" t="s">
        <v>66</v>
      </c>
      <c r="AM1057" s="2" t="str">
        <f>HYPERLINK("https://transparencia.cidesi.mx/comprobantes/2021/CQ2100875 /C2RUFM731208CB3FFM3978.pdf")</f>
        <v>https://transparencia.cidesi.mx/comprobantes/2021/CQ2100875 /C2RUFM731208CB3FFM3978.pdf</v>
      </c>
      <c r="AN1057" t="str">
        <f>HYPERLINK("https://transparencia.cidesi.mx/comprobantes/2021/CQ2100875 /C2RUFM731208CB3FFM3978.pdf")</f>
        <v>https://transparencia.cidesi.mx/comprobantes/2021/CQ2100875 /C2RUFM731208CB3FFM3978.pdf</v>
      </c>
      <c r="AO1057" t="str">
        <f>HYPERLINK("https://transparencia.cidesi.mx/comprobantes/2021/CQ2100875 /C2RUFM731208CB3FFM3978.xml")</f>
        <v>https://transparencia.cidesi.mx/comprobantes/2021/CQ2100875 /C2RUFM731208CB3FFM3978.xml</v>
      </c>
      <c r="AP1057" t="s">
        <v>1949</v>
      </c>
      <c r="AQ1057" t="s">
        <v>1949</v>
      </c>
      <c r="AR1057" t="s">
        <v>1949</v>
      </c>
      <c r="AS1057" t="s">
        <v>1949</v>
      </c>
      <c r="AT1057" s="1">
        <v>44466</v>
      </c>
      <c r="AU1057" s="1">
        <v>44470</v>
      </c>
    </row>
    <row r="1058" spans="1:47" x14ac:dyDescent="0.3">
      <c r="A1058" t="s">
        <v>47</v>
      </c>
      <c r="B1058" t="s">
        <v>224</v>
      </c>
      <c r="C1058" t="s">
        <v>225</v>
      </c>
      <c r="D1058">
        <v>9142</v>
      </c>
      <c r="E1058" t="s">
        <v>910</v>
      </c>
      <c r="F1058" t="s">
        <v>1925</v>
      </c>
      <c r="G1058" t="s">
        <v>723</v>
      </c>
      <c r="H1058" t="s">
        <v>1953</v>
      </c>
      <c r="I1058" t="s">
        <v>54</v>
      </c>
      <c r="J1058" t="s">
        <v>1954</v>
      </c>
      <c r="K1058" t="s">
        <v>56</v>
      </c>
      <c r="L1058">
        <v>0</v>
      </c>
      <c r="M1058" t="s">
        <v>73</v>
      </c>
      <c r="N1058">
        <v>0</v>
      </c>
      <c r="O1058" t="s">
        <v>58</v>
      </c>
      <c r="P1058" t="s">
        <v>59</v>
      </c>
      <c r="Q1058" t="s">
        <v>1284</v>
      </c>
      <c r="R1058" t="s">
        <v>1954</v>
      </c>
      <c r="S1058" s="1">
        <v>44461</v>
      </c>
      <c r="T1058" s="1">
        <v>44461</v>
      </c>
      <c r="U1058">
        <v>37501</v>
      </c>
      <c r="V1058" t="s">
        <v>61</v>
      </c>
      <c r="W1058" t="s">
        <v>1955</v>
      </c>
      <c r="X1058" s="1">
        <v>44463</v>
      </c>
      <c r="Y1058" t="s">
        <v>63</v>
      </c>
      <c r="Z1058">
        <v>73</v>
      </c>
      <c r="AA1058">
        <v>0</v>
      </c>
      <c r="AB1058">
        <v>0</v>
      </c>
      <c r="AC1058">
        <v>0</v>
      </c>
      <c r="AD1058">
        <v>73</v>
      </c>
      <c r="AE1058">
        <v>473</v>
      </c>
      <c r="AF1058">
        <v>545</v>
      </c>
      <c r="AG1058" t="s">
        <v>1929</v>
      </c>
      <c r="AH1058" t="s">
        <v>65</v>
      </c>
      <c r="AI1058" t="s">
        <v>65</v>
      </c>
      <c r="AJ1058" t="s">
        <v>66</v>
      </c>
      <c r="AK1058" t="s">
        <v>66</v>
      </c>
      <c r="AL1058" t="s">
        <v>66</v>
      </c>
      <c r="AM1058" s="2" t="str">
        <f>HYPERLINK("https://transparencia.cidesi.mx/comprobantes/2021/CQ2100876 /C1FACTURA_1632488827256_345732551.pdf")</f>
        <v>https://transparencia.cidesi.mx/comprobantes/2021/CQ2100876 /C1FACTURA_1632488827256_345732551.pdf</v>
      </c>
      <c r="AN1058" t="str">
        <f>HYPERLINK("https://transparencia.cidesi.mx/comprobantes/2021/CQ2100876 /C1FACTURA_1632488827256_345732551.pdf")</f>
        <v>https://transparencia.cidesi.mx/comprobantes/2021/CQ2100876 /C1FACTURA_1632488827256_345732551.pdf</v>
      </c>
      <c r="AO1058" t="str">
        <f>HYPERLINK("https://transparencia.cidesi.mx/comprobantes/2021/CQ2100876 /C1FACTURA_1632488825626_345732551.xml")</f>
        <v>https://transparencia.cidesi.mx/comprobantes/2021/CQ2100876 /C1FACTURA_1632488825626_345732551.xml</v>
      </c>
      <c r="AP1058" t="s">
        <v>1949</v>
      </c>
      <c r="AQ1058" t="s">
        <v>1949</v>
      </c>
      <c r="AR1058" t="s">
        <v>1949</v>
      </c>
      <c r="AS1058" t="s">
        <v>1949</v>
      </c>
      <c r="AT1058" s="1">
        <v>44466</v>
      </c>
      <c r="AU1058" s="1">
        <v>44470</v>
      </c>
    </row>
    <row r="1059" spans="1:47" x14ac:dyDescent="0.3">
      <c r="A1059" t="s">
        <v>47</v>
      </c>
      <c r="B1059" t="s">
        <v>224</v>
      </c>
      <c r="C1059" t="s">
        <v>225</v>
      </c>
      <c r="D1059">
        <v>9142</v>
      </c>
      <c r="E1059" t="s">
        <v>910</v>
      </c>
      <c r="F1059" t="s">
        <v>1925</v>
      </c>
      <c r="G1059" t="s">
        <v>723</v>
      </c>
      <c r="H1059" t="s">
        <v>1953</v>
      </c>
      <c r="I1059" t="s">
        <v>54</v>
      </c>
      <c r="J1059" t="s">
        <v>1954</v>
      </c>
      <c r="K1059" t="s">
        <v>56</v>
      </c>
      <c r="L1059">
        <v>0</v>
      </c>
      <c r="M1059" t="s">
        <v>73</v>
      </c>
      <c r="N1059">
        <v>0</v>
      </c>
      <c r="O1059" t="s">
        <v>58</v>
      </c>
      <c r="P1059" t="s">
        <v>59</v>
      </c>
      <c r="Q1059" t="s">
        <v>1284</v>
      </c>
      <c r="R1059" t="s">
        <v>1954</v>
      </c>
      <c r="S1059" s="1">
        <v>44461</v>
      </c>
      <c r="T1059" s="1">
        <v>44461</v>
      </c>
      <c r="U1059">
        <v>37501</v>
      </c>
      <c r="V1059" t="s">
        <v>61</v>
      </c>
      <c r="W1059" t="s">
        <v>1955</v>
      </c>
      <c r="X1059" s="1">
        <v>44463</v>
      </c>
      <c r="Y1059" t="s">
        <v>63</v>
      </c>
      <c r="Z1059">
        <v>344.83</v>
      </c>
      <c r="AA1059">
        <v>16</v>
      </c>
      <c r="AB1059">
        <v>55.17</v>
      </c>
      <c r="AC1059">
        <v>0</v>
      </c>
      <c r="AD1059">
        <v>400</v>
      </c>
      <c r="AE1059">
        <v>473</v>
      </c>
      <c r="AF1059">
        <v>545</v>
      </c>
      <c r="AG1059" t="s">
        <v>1929</v>
      </c>
      <c r="AH1059" t="s">
        <v>65</v>
      </c>
      <c r="AI1059" t="s">
        <v>65</v>
      </c>
      <c r="AJ1059" t="s">
        <v>66</v>
      </c>
      <c r="AK1059" t="s">
        <v>66</v>
      </c>
      <c r="AL1059" t="s">
        <v>66</v>
      </c>
      <c r="AM1059" s="2" t="str">
        <f>HYPERLINK("https://transparencia.cidesi.mx/comprobantes/2021/CQ2100876 /C2FA-RN026117-AULG430317679.pdf")</f>
        <v>https://transparencia.cidesi.mx/comprobantes/2021/CQ2100876 /C2FA-RN026117-AULG430317679.pdf</v>
      </c>
      <c r="AN1059" t="str">
        <f>HYPERLINK("https://transparencia.cidesi.mx/comprobantes/2021/CQ2100876 /C2FA-RN026117-AULG430317679.pdf")</f>
        <v>https://transparencia.cidesi.mx/comprobantes/2021/CQ2100876 /C2FA-RN026117-AULG430317679.pdf</v>
      </c>
      <c r="AO1059" t="str">
        <f>HYPERLINK("https://transparencia.cidesi.mx/comprobantes/2021/CQ2100876 /C2FA-RN026117-AULG430317679.xml")</f>
        <v>https://transparencia.cidesi.mx/comprobantes/2021/CQ2100876 /C2FA-RN026117-AULG430317679.xml</v>
      </c>
      <c r="AP1059" t="s">
        <v>1949</v>
      </c>
      <c r="AQ1059" t="s">
        <v>1949</v>
      </c>
      <c r="AR1059" t="s">
        <v>1949</v>
      </c>
      <c r="AS1059" t="s">
        <v>1949</v>
      </c>
      <c r="AT1059" s="1">
        <v>44466</v>
      </c>
      <c r="AU1059" s="1">
        <v>44470</v>
      </c>
    </row>
    <row r="1060" spans="1:47" x14ac:dyDescent="0.3">
      <c r="A1060" t="s">
        <v>47</v>
      </c>
      <c r="B1060" t="s">
        <v>224</v>
      </c>
      <c r="C1060" t="s">
        <v>225</v>
      </c>
      <c r="D1060">
        <v>9144</v>
      </c>
      <c r="E1060" t="s">
        <v>1956</v>
      </c>
      <c r="F1060" t="s">
        <v>1957</v>
      </c>
      <c r="G1060" t="s">
        <v>1958</v>
      </c>
      <c r="H1060" t="s">
        <v>1959</v>
      </c>
      <c r="I1060" t="s">
        <v>54</v>
      </c>
      <c r="J1060" t="s">
        <v>1960</v>
      </c>
      <c r="K1060" t="s">
        <v>56</v>
      </c>
      <c r="L1060">
        <v>0</v>
      </c>
      <c r="M1060" t="s">
        <v>73</v>
      </c>
      <c r="N1060">
        <v>0</v>
      </c>
      <c r="O1060" t="s">
        <v>58</v>
      </c>
      <c r="P1060" t="s">
        <v>59</v>
      </c>
      <c r="Q1060" t="s">
        <v>216</v>
      </c>
      <c r="R1060" t="s">
        <v>1960</v>
      </c>
      <c r="S1060" s="1">
        <v>44446</v>
      </c>
      <c r="T1060" s="1">
        <v>44446</v>
      </c>
      <c r="U1060">
        <v>37501</v>
      </c>
      <c r="V1060" t="s">
        <v>61</v>
      </c>
      <c r="W1060" t="s">
        <v>1961</v>
      </c>
      <c r="X1060" s="1">
        <v>44449</v>
      </c>
      <c r="Y1060" t="s">
        <v>63</v>
      </c>
      <c r="Z1060">
        <v>287.07</v>
      </c>
      <c r="AA1060">
        <v>16</v>
      </c>
      <c r="AB1060">
        <v>45.93</v>
      </c>
      <c r="AC1060">
        <v>34</v>
      </c>
      <c r="AD1060">
        <v>367</v>
      </c>
      <c r="AE1060">
        <v>494</v>
      </c>
      <c r="AF1060">
        <v>545</v>
      </c>
      <c r="AG1060" t="s">
        <v>1962</v>
      </c>
      <c r="AH1060" t="s">
        <v>65</v>
      </c>
      <c r="AI1060" t="s">
        <v>65</v>
      </c>
      <c r="AJ1060" t="s">
        <v>66</v>
      </c>
      <c r="AK1060" t="s">
        <v>66</v>
      </c>
      <c r="AL1060" t="s">
        <v>66</v>
      </c>
      <c r="AM1060" s="2" t="str">
        <f>HYPERLINK("https://transparencia.cidesi.mx/comprobantes/2021/CQ2100769 /C1CID840309UG7F0000019482.pdf")</f>
        <v>https://transparencia.cidesi.mx/comprobantes/2021/CQ2100769 /C1CID840309UG7F0000019482.pdf</v>
      </c>
      <c r="AN1060" t="str">
        <f>HYPERLINK("https://transparencia.cidesi.mx/comprobantes/2021/CQ2100769 /C1CID840309UG7F0000019482.pdf")</f>
        <v>https://transparencia.cidesi.mx/comprobantes/2021/CQ2100769 /C1CID840309UG7F0000019482.pdf</v>
      </c>
      <c r="AO1060" t="str">
        <f>HYPERLINK("https://transparencia.cidesi.mx/comprobantes/2021/CQ2100769 /C1CID840309UG7F0000019482.xml")</f>
        <v>https://transparencia.cidesi.mx/comprobantes/2021/CQ2100769 /C1CID840309UG7F0000019482.xml</v>
      </c>
      <c r="AP1060" t="s">
        <v>1960</v>
      </c>
      <c r="AQ1060" t="s">
        <v>1963</v>
      </c>
      <c r="AR1060" t="s">
        <v>1964</v>
      </c>
      <c r="AS1060" t="s">
        <v>1965</v>
      </c>
      <c r="AT1060" s="1">
        <v>44452</v>
      </c>
      <c r="AU1060" s="1">
        <v>44467</v>
      </c>
    </row>
    <row r="1061" spans="1:47" x14ac:dyDescent="0.3">
      <c r="A1061" t="s">
        <v>47</v>
      </c>
      <c r="B1061" t="s">
        <v>224</v>
      </c>
      <c r="C1061" t="s">
        <v>225</v>
      </c>
      <c r="D1061">
        <v>9144</v>
      </c>
      <c r="E1061" t="s">
        <v>1956</v>
      </c>
      <c r="F1061" t="s">
        <v>1957</v>
      </c>
      <c r="G1061" t="s">
        <v>1958</v>
      </c>
      <c r="H1061" t="s">
        <v>1959</v>
      </c>
      <c r="I1061" t="s">
        <v>54</v>
      </c>
      <c r="J1061" t="s">
        <v>1960</v>
      </c>
      <c r="K1061" t="s">
        <v>56</v>
      </c>
      <c r="L1061">
        <v>0</v>
      </c>
      <c r="M1061" t="s">
        <v>73</v>
      </c>
      <c r="N1061">
        <v>0</v>
      </c>
      <c r="O1061" t="s">
        <v>58</v>
      </c>
      <c r="P1061" t="s">
        <v>59</v>
      </c>
      <c r="Q1061" t="s">
        <v>216</v>
      </c>
      <c r="R1061" t="s">
        <v>1960</v>
      </c>
      <c r="S1061" s="1">
        <v>44446</v>
      </c>
      <c r="T1061" s="1">
        <v>44446</v>
      </c>
      <c r="U1061">
        <v>37501</v>
      </c>
      <c r="V1061" t="s">
        <v>94</v>
      </c>
      <c r="W1061" t="s">
        <v>1961</v>
      </c>
      <c r="X1061" s="1">
        <v>44449</v>
      </c>
      <c r="Y1061" t="s">
        <v>63</v>
      </c>
      <c r="Z1061">
        <v>109.48</v>
      </c>
      <c r="AA1061">
        <v>16</v>
      </c>
      <c r="AB1061">
        <v>17.52</v>
      </c>
      <c r="AC1061">
        <v>0</v>
      </c>
      <c r="AD1061">
        <v>127</v>
      </c>
      <c r="AE1061">
        <v>494</v>
      </c>
      <c r="AF1061">
        <v>545</v>
      </c>
      <c r="AG1061" t="s">
        <v>1966</v>
      </c>
      <c r="AH1061" t="s">
        <v>66</v>
      </c>
      <c r="AI1061" t="s">
        <v>65</v>
      </c>
      <c r="AJ1061" t="s">
        <v>66</v>
      </c>
      <c r="AK1061" t="s">
        <v>66</v>
      </c>
      <c r="AL1061" t="s">
        <v>66</v>
      </c>
      <c r="AM1061" s="2" t="str">
        <f>HYPERLINK("https://transparencia.cidesi.mx/comprobantes/2021/CQ2100769 /C2AMS050630CN3_factura_U149691.pdf")</f>
        <v>https://transparencia.cidesi.mx/comprobantes/2021/CQ2100769 /C2AMS050630CN3_factura_U149691.pdf</v>
      </c>
      <c r="AN1061" t="str">
        <f>HYPERLINK("https://transparencia.cidesi.mx/comprobantes/2021/CQ2100769 /C2AMS050630CN3_factura_U149691.pdf")</f>
        <v>https://transparencia.cidesi.mx/comprobantes/2021/CQ2100769 /C2AMS050630CN3_factura_U149691.pdf</v>
      </c>
      <c r="AO1061" t="str">
        <f>HYPERLINK("https://transparencia.cidesi.mx/comprobantes/2021/CQ2100769 /C2AMS050630CN3_factura_U149691.xml")</f>
        <v>https://transparencia.cidesi.mx/comprobantes/2021/CQ2100769 /C2AMS050630CN3_factura_U149691.xml</v>
      </c>
      <c r="AP1061" t="s">
        <v>1960</v>
      </c>
      <c r="AQ1061" t="s">
        <v>1963</v>
      </c>
      <c r="AR1061" t="s">
        <v>1964</v>
      </c>
      <c r="AS1061" t="s">
        <v>1965</v>
      </c>
      <c r="AT1061" s="1">
        <v>44452</v>
      </c>
      <c r="AU1061" s="1">
        <v>44467</v>
      </c>
    </row>
    <row r="1062" spans="1:47" x14ac:dyDescent="0.3">
      <c r="A1062" t="s">
        <v>47</v>
      </c>
      <c r="B1062" t="s">
        <v>224</v>
      </c>
      <c r="C1062" t="s">
        <v>225</v>
      </c>
      <c r="D1062">
        <v>9144</v>
      </c>
      <c r="E1062" t="s">
        <v>1956</v>
      </c>
      <c r="F1062" t="s">
        <v>1957</v>
      </c>
      <c r="G1062" t="s">
        <v>1958</v>
      </c>
      <c r="H1062" t="s">
        <v>1967</v>
      </c>
      <c r="I1062" t="s">
        <v>54</v>
      </c>
      <c r="J1062" t="s">
        <v>1968</v>
      </c>
      <c r="K1062" t="s">
        <v>56</v>
      </c>
      <c r="L1062">
        <v>0</v>
      </c>
      <c r="M1062" t="s">
        <v>73</v>
      </c>
      <c r="N1062">
        <v>0</v>
      </c>
      <c r="O1062" t="s">
        <v>58</v>
      </c>
      <c r="P1062" t="s">
        <v>59</v>
      </c>
      <c r="Q1062" t="s">
        <v>108</v>
      </c>
      <c r="R1062" t="s">
        <v>1968</v>
      </c>
      <c r="S1062" s="1">
        <v>44460</v>
      </c>
      <c r="T1062" s="1">
        <v>44460</v>
      </c>
      <c r="U1062">
        <v>37501</v>
      </c>
      <c r="V1062" t="s">
        <v>61</v>
      </c>
      <c r="W1062" t="s">
        <v>1969</v>
      </c>
      <c r="X1062" s="1">
        <v>44463</v>
      </c>
      <c r="Y1062" t="s">
        <v>63</v>
      </c>
      <c r="Z1062">
        <v>452.59</v>
      </c>
      <c r="AA1062">
        <v>16</v>
      </c>
      <c r="AB1062">
        <v>72.41</v>
      </c>
      <c r="AC1062">
        <v>0</v>
      </c>
      <c r="AD1062">
        <v>525</v>
      </c>
      <c r="AE1062">
        <v>525</v>
      </c>
      <c r="AF1062">
        <v>545</v>
      </c>
      <c r="AG1062" t="s">
        <v>1962</v>
      </c>
      <c r="AH1062" t="s">
        <v>65</v>
      </c>
      <c r="AI1062" t="s">
        <v>65</v>
      </c>
      <c r="AJ1062" t="s">
        <v>66</v>
      </c>
      <c r="AK1062" t="s">
        <v>66</v>
      </c>
      <c r="AL1062" t="s">
        <v>66</v>
      </c>
      <c r="AM1062" s="2" t="str">
        <f>HYPERLINK("https://transparencia.cidesi.mx/comprobantes/2021/CQ2100877 /C1RORR791119M94_Factura__38533_7A1C3ED4-35F7-4818-A02A-738B5C5D7C37.pdf")</f>
        <v>https://transparencia.cidesi.mx/comprobantes/2021/CQ2100877 /C1RORR791119M94_Factura__38533_7A1C3ED4-35F7-4818-A02A-738B5C5D7C37.pdf</v>
      </c>
      <c r="AN1062" t="str">
        <f>HYPERLINK("https://transparencia.cidesi.mx/comprobantes/2021/CQ2100877 /C1RORR791119M94_Factura__38533_7A1C3ED4-35F7-4818-A02A-738B5C5D7C37.pdf")</f>
        <v>https://transparencia.cidesi.mx/comprobantes/2021/CQ2100877 /C1RORR791119M94_Factura__38533_7A1C3ED4-35F7-4818-A02A-738B5C5D7C37.pdf</v>
      </c>
      <c r="AO1062" t="str">
        <f>HYPERLINK("https://transparencia.cidesi.mx/comprobantes/2021/CQ2100877 /C1RORR791119M94_Factura__38533_7A1C3ED4-35F7-4818-A02A-738B5C5D7C37.xml")</f>
        <v>https://transparencia.cidesi.mx/comprobantes/2021/CQ2100877 /C1RORR791119M94_Factura__38533_7A1C3ED4-35F7-4818-A02A-738B5C5D7C37.xml</v>
      </c>
      <c r="AP1062" t="s">
        <v>1970</v>
      </c>
      <c r="AQ1062" t="s">
        <v>1971</v>
      </c>
      <c r="AR1062" t="s">
        <v>1972</v>
      </c>
      <c r="AS1062" t="s">
        <v>1973</v>
      </c>
      <c r="AT1062" s="1">
        <v>44466</v>
      </c>
      <c r="AU1062" s="1">
        <v>44470</v>
      </c>
    </row>
    <row r="1063" spans="1:47" x14ac:dyDescent="0.3">
      <c r="A1063" t="s">
        <v>47</v>
      </c>
      <c r="B1063" t="s">
        <v>48</v>
      </c>
      <c r="C1063" t="s">
        <v>392</v>
      </c>
      <c r="D1063">
        <v>30048</v>
      </c>
      <c r="E1063" t="s">
        <v>1974</v>
      </c>
      <c r="F1063" t="s">
        <v>723</v>
      </c>
      <c r="G1063" t="s">
        <v>1975</v>
      </c>
      <c r="H1063" t="s">
        <v>1976</v>
      </c>
      <c r="I1063" t="s">
        <v>54</v>
      </c>
      <c r="J1063" t="s">
        <v>1355</v>
      </c>
      <c r="K1063" t="s">
        <v>56</v>
      </c>
      <c r="L1063">
        <v>0</v>
      </c>
      <c r="M1063" t="s">
        <v>73</v>
      </c>
      <c r="N1063">
        <v>0</v>
      </c>
      <c r="O1063" t="s">
        <v>58</v>
      </c>
      <c r="P1063" t="s">
        <v>59</v>
      </c>
      <c r="Q1063" t="s">
        <v>60</v>
      </c>
      <c r="R1063" t="s">
        <v>1355</v>
      </c>
      <c r="S1063" s="1">
        <v>44407</v>
      </c>
      <c r="T1063" s="1">
        <v>44407</v>
      </c>
      <c r="U1063">
        <v>37501</v>
      </c>
      <c r="V1063" t="s">
        <v>61</v>
      </c>
      <c r="W1063" t="s">
        <v>1977</v>
      </c>
      <c r="X1063" s="1">
        <v>44412</v>
      </c>
      <c r="Y1063" t="s">
        <v>207</v>
      </c>
      <c r="Z1063">
        <v>464.45</v>
      </c>
      <c r="AA1063">
        <v>16</v>
      </c>
      <c r="AB1063">
        <v>80.55</v>
      </c>
      <c r="AC1063">
        <v>0</v>
      </c>
      <c r="AD1063">
        <v>545</v>
      </c>
      <c r="AE1063">
        <v>545</v>
      </c>
      <c r="AF1063">
        <v>545</v>
      </c>
      <c r="AG1063" t="s">
        <v>1978</v>
      </c>
      <c r="AH1063" t="s">
        <v>65</v>
      </c>
      <c r="AI1063" t="s">
        <v>65</v>
      </c>
      <c r="AJ1063" t="s">
        <v>66</v>
      </c>
      <c r="AK1063" t="s">
        <v>66</v>
      </c>
      <c r="AL1063" t="s">
        <v>66</v>
      </c>
      <c r="AM1063" s="2" t="str">
        <f>HYPERLINK("https://transparencia.cidesi.mx/comprobantes/2021/CQ2100605 /C130149_GAS910208GP3_PDF.pdf")</f>
        <v>https://transparencia.cidesi.mx/comprobantes/2021/CQ2100605 /C130149_GAS910208GP3_PDF.pdf</v>
      </c>
      <c r="AN1063" t="str">
        <f>HYPERLINK("https://transparencia.cidesi.mx/comprobantes/2021/CQ2100605 /C130149_GAS910208GP3_PDF.pdf")</f>
        <v>https://transparencia.cidesi.mx/comprobantes/2021/CQ2100605 /C130149_GAS910208GP3_PDF.pdf</v>
      </c>
      <c r="AO1063" t="str">
        <f>HYPERLINK("https://transparencia.cidesi.mx/comprobantes/2021/CQ2100605 /C130149_GAS910208GP3_XML.xml")</f>
        <v>https://transparencia.cidesi.mx/comprobantes/2021/CQ2100605 /C130149_GAS910208GP3_XML.xml</v>
      </c>
      <c r="AP1063" t="s">
        <v>1979</v>
      </c>
      <c r="AQ1063" t="s">
        <v>1980</v>
      </c>
      <c r="AR1063" t="s">
        <v>1981</v>
      </c>
      <c r="AS1063" t="s">
        <v>1982</v>
      </c>
      <c r="AT1063" s="1">
        <v>44417</v>
      </c>
      <c r="AU1063" t="s">
        <v>73</v>
      </c>
    </row>
    <row r="1064" spans="1:47" x14ac:dyDescent="0.3">
      <c r="A1064" t="s">
        <v>47</v>
      </c>
      <c r="B1064" t="s">
        <v>48</v>
      </c>
      <c r="C1064" t="s">
        <v>392</v>
      </c>
      <c r="D1064">
        <v>30048</v>
      </c>
      <c r="E1064" t="s">
        <v>1974</v>
      </c>
      <c r="F1064" t="s">
        <v>723</v>
      </c>
      <c r="G1064" t="s">
        <v>1975</v>
      </c>
      <c r="H1064" t="s">
        <v>1983</v>
      </c>
      <c r="I1064" t="s">
        <v>54</v>
      </c>
      <c r="J1064" t="s">
        <v>1984</v>
      </c>
      <c r="K1064" t="s">
        <v>56</v>
      </c>
      <c r="L1064">
        <v>0</v>
      </c>
      <c r="M1064" t="s">
        <v>73</v>
      </c>
      <c r="N1064">
        <v>0</v>
      </c>
      <c r="O1064" t="s">
        <v>58</v>
      </c>
      <c r="P1064" t="s">
        <v>59</v>
      </c>
      <c r="Q1064" t="s">
        <v>108</v>
      </c>
      <c r="R1064" t="s">
        <v>1984</v>
      </c>
      <c r="S1064" s="1">
        <v>44438</v>
      </c>
      <c r="T1064" s="1">
        <v>44438</v>
      </c>
      <c r="U1064">
        <v>37501</v>
      </c>
      <c r="V1064" t="s">
        <v>61</v>
      </c>
      <c r="W1064" t="s">
        <v>1985</v>
      </c>
      <c r="X1064" s="1">
        <v>44445</v>
      </c>
      <c r="Y1064" t="s">
        <v>63</v>
      </c>
      <c r="Z1064">
        <v>0.1</v>
      </c>
      <c r="AA1064">
        <v>0</v>
      </c>
      <c r="AB1064">
        <v>0</v>
      </c>
      <c r="AC1064">
        <v>0</v>
      </c>
      <c r="AD1064">
        <v>0.1</v>
      </c>
      <c r="AE1064">
        <v>0.1</v>
      </c>
      <c r="AF1064">
        <v>545</v>
      </c>
      <c r="AG1064" t="s">
        <v>1978</v>
      </c>
      <c r="AH1064" t="s">
        <v>66</v>
      </c>
      <c r="AI1064" t="s">
        <v>66</v>
      </c>
      <c r="AJ1064" t="s">
        <v>66</v>
      </c>
      <c r="AK1064" t="s">
        <v>66</v>
      </c>
      <c r="AL1064" t="s">
        <v>66</v>
      </c>
      <c r="AM1064" s="2" t="s">
        <v>73</v>
      </c>
      <c r="AN1064" t="s">
        <v>73</v>
      </c>
      <c r="AO1064" t="s">
        <v>73</v>
      </c>
      <c r="AP1064" t="s">
        <v>1986</v>
      </c>
      <c r="AQ1064" t="s">
        <v>1987</v>
      </c>
      <c r="AR1064" t="s">
        <v>1986</v>
      </c>
      <c r="AS1064" t="s">
        <v>1987</v>
      </c>
      <c r="AT1064" s="1">
        <v>44446</v>
      </c>
      <c r="AU1064" s="1">
        <v>44447</v>
      </c>
    </row>
    <row r="1065" spans="1:47" x14ac:dyDescent="0.3">
      <c r="A1065" t="s">
        <v>47</v>
      </c>
      <c r="B1065" t="s">
        <v>48</v>
      </c>
      <c r="C1065" t="s">
        <v>392</v>
      </c>
      <c r="D1065">
        <v>30048</v>
      </c>
      <c r="E1065" t="s">
        <v>1974</v>
      </c>
      <c r="F1065" t="s">
        <v>723</v>
      </c>
      <c r="G1065" t="s">
        <v>1975</v>
      </c>
      <c r="H1065" t="s">
        <v>1988</v>
      </c>
      <c r="I1065" t="s">
        <v>54</v>
      </c>
      <c r="J1065" t="s">
        <v>1989</v>
      </c>
      <c r="K1065" t="s">
        <v>56</v>
      </c>
      <c r="L1065">
        <v>604</v>
      </c>
      <c r="M1065" t="s">
        <v>1508</v>
      </c>
      <c r="N1065">
        <v>0</v>
      </c>
      <c r="O1065" t="s">
        <v>58</v>
      </c>
      <c r="P1065" t="s">
        <v>59</v>
      </c>
      <c r="Q1065" t="s">
        <v>297</v>
      </c>
      <c r="R1065" t="s">
        <v>1989</v>
      </c>
      <c r="S1065" s="1">
        <v>44440</v>
      </c>
      <c r="T1065" s="1">
        <v>44442</v>
      </c>
      <c r="U1065">
        <v>37501</v>
      </c>
      <c r="V1065" t="s">
        <v>61</v>
      </c>
      <c r="W1065" t="s">
        <v>1990</v>
      </c>
      <c r="X1065" s="1">
        <v>44454</v>
      </c>
      <c r="Y1065" t="s">
        <v>63</v>
      </c>
      <c r="Z1065">
        <v>251.72</v>
      </c>
      <c r="AA1065">
        <v>16</v>
      </c>
      <c r="AB1065">
        <v>40.28</v>
      </c>
      <c r="AC1065">
        <v>0</v>
      </c>
      <c r="AD1065">
        <v>292</v>
      </c>
      <c r="AE1065">
        <v>3634.12</v>
      </c>
      <c r="AF1065">
        <v>3917</v>
      </c>
      <c r="AG1065" t="s">
        <v>1978</v>
      </c>
      <c r="AH1065" t="s">
        <v>65</v>
      </c>
      <c r="AI1065" t="s">
        <v>65</v>
      </c>
      <c r="AJ1065" t="s">
        <v>66</v>
      </c>
      <c r="AK1065" t="s">
        <v>66</v>
      </c>
      <c r="AL1065" t="s">
        <v>66</v>
      </c>
      <c r="AM1065" s="2" t="str">
        <f>HYPERLINK("https://transparencia.cidesi.mx/comprobantes/2021/CQ2100812 /C1CID840309UG7_13172_D_FB294DF1-9693-4BAF-8FEB-038D1DEAD1C8.pdf")</f>
        <v>https://transparencia.cidesi.mx/comprobantes/2021/CQ2100812 /C1CID840309UG7_13172_D_FB294DF1-9693-4BAF-8FEB-038D1DEAD1C8.pdf</v>
      </c>
      <c r="AN1065" t="str">
        <f>HYPERLINK("https://transparencia.cidesi.mx/comprobantes/2021/CQ2100812 /C1CID840309UG7_13172_D_FB294DF1-9693-4BAF-8FEB-038D1DEAD1C8.pdf")</f>
        <v>https://transparencia.cidesi.mx/comprobantes/2021/CQ2100812 /C1CID840309UG7_13172_D_FB294DF1-9693-4BAF-8FEB-038D1DEAD1C8.pdf</v>
      </c>
      <c r="AO1065" t="str">
        <f>HYPERLINK("https://transparencia.cidesi.mx/comprobantes/2021/CQ2100812 /C1CID840309UG7_13172_D_FB294DF1-9693-4BAF-8FEB-038D1DEAD1C8.xml")</f>
        <v>https://transparencia.cidesi.mx/comprobantes/2021/CQ2100812 /C1CID840309UG7_13172_D_FB294DF1-9693-4BAF-8FEB-038D1DEAD1C8.xml</v>
      </c>
      <c r="AP1065" t="s">
        <v>1991</v>
      </c>
      <c r="AQ1065" t="s">
        <v>1992</v>
      </c>
      <c r="AR1065" t="s">
        <v>1993</v>
      </c>
      <c r="AS1065" t="s">
        <v>1987</v>
      </c>
      <c r="AT1065" s="1">
        <v>44454</v>
      </c>
      <c r="AU1065" s="1">
        <v>44467</v>
      </c>
    </row>
    <row r="1066" spans="1:47" x14ac:dyDescent="0.3">
      <c r="A1066" t="s">
        <v>47</v>
      </c>
      <c r="B1066" t="s">
        <v>48</v>
      </c>
      <c r="C1066" t="s">
        <v>392</v>
      </c>
      <c r="D1066">
        <v>30048</v>
      </c>
      <c r="E1066" t="s">
        <v>1974</v>
      </c>
      <c r="F1066" t="s">
        <v>723</v>
      </c>
      <c r="G1066" t="s">
        <v>1975</v>
      </c>
      <c r="H1066" t="s">
        <v>1988</v>
      </c>
      <c r="I1066" t="s">
        <v>54</v>
      </c>
      <c r="J1066" t="s">
        <v>1989</v>
      </c>
      <c r="K1066" t="s">
        <v>56</v>
      </c>
      <c r="L1066">
        <v>604</v>
      </c>
      <c r="M1066" t="s">
        <v>1508</v>
      </c>
      <c r="N1066">
        <v>0</v>
      </c>
      <c r="O1066" t="s">
        <v>58</v>
      </c>
      <c r="P1066" t="s">
        <v>59</v>
      </c>
      <c r="Q1066" t="s">
        <v>297</v>
      </c>
      <c r="R1066" t="s">
        <v>1989</v>
      </c>
      <c r="S1066" s="1">
        <v>44440</v>
      </c>
      <c r="T1066" s="1">
        <v>44442</v>
      </c>
      <c r="U1066">
        <v>37501</v>
      </c>
      <c r="V1066" t="s">
        <v>61</v>
      </c>
      <c r="W1066" t="s">
        <v>1990</v>
      </c>
      <c r="X1066" s="1">
        <v>44454</v>
      </c>
      <c r="Y1066" t="s">
        <v>63</v>
      </c>
      <c r="Z1066">
        <v>459.05</v>
      </c>
      <c r="AA1066">
        <v>16</v>
      </c>
      <c r="AB1066">
        <v>73.45</v>
      </c>
      <c r="AC1066">
        <v>0</v>
      </c>
      <c r="AD1066">
        <v>532.5</v>
      </c>
      <c r="AE1066">
        <v>3634.12</v>
      </c>
      <c r="AF1066">
        <v>3917</v>
      </c>
      <c r="AG1066" t="s">
        <v>1978</v>
      </c>
      <c r="AH1066" t="s">
        <v>65</v>
      </c>
      <c r="AI1066" t="s">
        <v>65</v>
      </c>
      <c r="AJ1066" t="s">
        <v>66</v>
      </c>
      <c r="AK1066" t="s">
        <v>66</v>
      </c>
      <c r="AL1066" t="s">
        <v>66</v>
      </c>
      <c r="AM1066" s="2" t="str">
        <f>HYPERLINK("https://transparencia.cidesi.mx/comprobantes/2021/CQ2100812 /C2CID840309UG7-110694-LFAPO.pdf")</f>
        <v>https://transparencia.cidesi.mx/comprobantes/2021/CQ2100812 /C2CID840309UG7-110694-LFAPO.pdf</v>
      </c>
      <c r="AN1066" t="str">
        <f>HYPERLINK("https://transparencia.cidesi.mx/comprobantes/2021/CQ2100812 /C2CID840309UG7-110694-LFAPO.pdf")</f>
        <v>https://transparencia.cidesi.mx/comprobantes/2021/CQ2100812 /C2CID840309UG7-110694-LFAPO.pdf</v>
      </c>
      <c r="AO1066" t="str">
        <f>HYPERLINK("https://transparencia.cidesi.mx/comprobantes/2021/CQ2100812 /C2CID840309UG7-110694-LFAPO.xml")</f>
        <v>https://transparencia.cidesi.mx/comprobantes/2021/CQ2100812 /C2CID840309UG7-110694-LFAPO.xml</v>
      </c>
      <c r="AP1066" t="s">
        <v>1991</v>
      </c>
      <c r="AQ1066" t="s">
        <v>1992</v>
      </c>
      <c r="AR1066" t="s">
        <v>1993</v>
      </c>
      <c r="AS1066" t="s">
        <v>1987</v>
      </c>
      <c r="AT1066" s="1">
        <v>44454</v>
      </c>
      <c r="AU1066" s="1">
        <v>44467</v>
      </c>
    </row>
    <row r="1067" spans="1:47" x14ac:dyDescent="0.3">
      <c r="A1067" t="s">
        <v>47</v>
      </c>
      <c r="B1067" t="s">
        <v>48</v>
      </c>
      <c r="C1067" t="s">
        <v>392</v>
      </c>
      <c r="D1067">
        <v>30048</v>
      </c>
      <c r="E1067" t="s">
        <v>1974</v>
      </c>
      <c r="F1067" t="s">
        <v>723</v>
      </c>
      <c r="G1067" t="s">
        <v>1975</v>
      </c>
      <c r="H1067" t="s">
        <v>1988</v>
      </c>
      <c r="I1067" t="s">
        <v>54</v>
      </c>
      <c r="J1067" t="s">
        <v>1989</v>
      </c>
      <c r="K1067" t="s">
        <v>56</v>
      </c>
      <c r="L1067">
        <v>604</v>
      </c>
      <c r="M1067" t="s">
        <v>1508</v>
      </c>
      <c r="N1067">
        <v>0</v>
      </c>
      <c r="O1067" t="s">
        <v>58</v>
      </c>
      <c r="P1067" t="s">
        <v>59</v>
      </c>
      <c r="Q1067" t="s">
        <v>297</v>
      </c>
      <c r="R1067" t="s">
        <v>1989</v>
      </c>
      <c r="S1067" s="1">
        <v>44440</v>
      </c>
      <c r="T1067" s="1">
        <v>44442</v>
      </c>
      <c r="U1067">
        <v>37501</v>
      </c>
      <c r="V1067" t="s">
        <v>61</v>
      </c>
      <c r="W1067" t="s">
        <v>1990</v>
      </c>
      <c r="X1067" s="1">
        <v>44454</v>
      </c>
      <c r="Y1067" t="s">
        <v>63</v>
      </c>
      <c r="Z1067">
        <v>378.41</v>
      </c>
      <c r="AA1067">
        <v>16</v>
      </c>
      <c r="AB1067">
        <v>51.59</v>
      </c>
      <c r="AC1067">
        <v>0</v>
      </c>
      <c r="AD1067">
        <v>430</v>
      </c>
      <c r="AE1067">
        <v>3634.12</v>
      </c>
      <c r="AF1067">
        <v>3917</v>
      </c>
      <c r="AG1067" t="s">
        <v>1978</v>
      </c>
      <c r="AH1067" t="s">
        <v>65</v>
      </c>
      <c r="AI1067" t="s">
        <v>65</v>
      </c>
      <c r="AJ1067" t="s">
        <v>66</v>
      </c>
      <c r="AK1067" t="s">
        <v>66</v>
      </c>
      <c r="AL1067" t="s">
        <v>66</v>
      </c>
      <c r="AM1067" s="2" t="str">
        <f>HYPERLINK("https://transparencia.cidesi.mx/comprobantes/2021/CQ2100812 /C3F70240_57F9B0EF-8776-4403-B1B5-ACC6A6042743.pdf")</f>
        <v>https://transparencia.cidesi.mx/comprobantes/2021/CQ2100812 /C3F70240_57F9B0EF-8776-4403-B1B5-ACC6A6042743.pdf</v>
      </c>
      <c r="AN1067" t="str">
        <f>HYPERLINK("https://transparencia.cidesi.mx/comprobantes/2021/CQ2100812 /C3F70240_57F9B0EF-8776-4403-B1B5-ACC6A6042743.pdf")</f>
        <v>https://transparencia.cidesi.mx/comprobantes/2021/CQ2100812 /C3F70240_57F9B0EF-8776-4403-B1B5-ACC6A6042743.pdf</v>
      </c>
      <c r="AO1067" t="str">
        <f>HYPERLINK("https://transparencia.cidesi.mx/comprobantes/2021/CQ2100812 /C3F70240_57F9B0EF-8776-4403-B1B5-ACC6A6042743.xml")</f>
        <v>https://transparencia.cidesi.mx/comprobantes/2021/CQ2100812 /C3F70240_57F9B0EF-8776-4403-B1B5-ACC6A6042743.xml</v>
      </c>
      <c r="AP1067" t="s">
        <v>1991</v>
      </c>
      <c r="AQ1067" t="s">
        <v>1992</v>
      </c>
      <c r="AR1067" t="s">
        <v>1993</v>
      </c>
      <c r="AS1067" t="s">
        <v>1987</v>
      </c>
      <c r="AT1067" s="1">
        <v>44454</v>
      </c>
      <c r="AU1067" s="1">
        <v>44467</v>
      </c>
    </row>
    <row r="1068" spans="1:47" x14ac:dyDescent="0.3">
      <c r="A1068" t="s">
        <v>47</v>
      </c>
      <c r="B1068" t="s">
        <v>48</v>
      </c>
      <c r="C1068" t="s">
        <v>392</v>
      </c>
      <c r="D1068">
        <v>30048</v>
      </c>
      <c r="E1068" t="s">
        <v>1974</v>
      </c>
      <c r="F1068" t="s">
        <v>723</v>
      </c>
      <c r="G1068" t="s">
        <v>1975</v>
      </c>
      <c r="H1068" t="s">
        <v>1988</v>
      </c>
      <c r="I1068" t="s">
        <v>54</v>
      </c>
      <c r="J1068" t="s">
        <v>1989</v>
      </c>
      <c r="K1068" t="s">
        <v>56</v>
      </c>
      <c r="L1068">
        <v>604</v>
      </c>
      <c r="M1068" t="s">
        <v>1508</v>
      </c>
      <c r="N1068">
        <v>0</v>
      </c>
      <c r="O1068" t="s">
        <v>58</v>
      </c>
      <c r="P1068" t="s">
        <v>59</v>
      </c>
      <c r="Q1068" t="s">
        <v>297</v>
      </c>
      <c r="R1068" t="s">
        <v>1989</v>
      </c>
      <c r="S1068" s="1">
        <v>44440</v>
      </c>
      <c r="T1068" s="1">
        <v>44442</v>
      </c>
      <c r="U1068">
        <v>37501</v>
      </c>
      <c r="V1068" t="s">
        <v>104</v>
      </c>
      <c r="W1068" t="s">
        <v>1990</v>
      </c>
      <c r="X1068" s="1">
        <v>44454</v>
      </c>
      <c r="Y1068" t="s">
        <v>63</v>
      </c>
      <c r="Z1068">
        <v>2059.67</v>
      </c>
      <c r="AA1068">
        <v>16</v>
      </c>
      <c r="AB1068">
        <v>319.95</v>
      </c>
      <c r="AC1068">
        <v>0</v>
      </c>
      <c r="AD1068">
        <v>2379.62</v>
      </c>
      <c r="AE1068">
        <v>3634.12</v>
      </c>
      <c r="AF1068">
        <v>3917</v>
      </c>
      <c r="AG1068" t="s">
        <v>1994</v>
      </c>
      <c r="AH1068" t="s">
        <v>65</v>
      </c>
      <c r="AI1068" t="s">
        <v>65</v>
      </c>
      <c r="AJ1068" t="s">
        <v>66</v>
      </c>
      <c r="AK1068" t="s">
        <v>66</v>
      </c>
      <c r="AL1068" t="s">
        <v>66</v>
      </c>
      <c r="AM1068" s="2" t="str">
        <f>HYPERLINK("https://transparencia.cidesi.mx/comprobantes/2021/CQ2100812 /C4DBM121023M10-03-09-2021-075615934-dde11f94-54e3-4041-a519-96ef0ffbdb7b-MTYZOA-38275.pdf")</f>
        <v>https://transparencia.cidesi.mx/comprobantes/2021/CQ2100812 /C4DBM121023M10-03-09-2021-075615934-dde11f94-54e3-4041-a519-96ef0ffbdb7b-MTYZOA-38275.pdf</v>
      </c>
      <c r="AN1068" t="str">
        <f>HYPERLINK("https://transparencia.cidesi.mx/comprobantes/2021/CQ2100812 /C4DBM121023M10-03-09-2021-075615934-dde11f94-54e3-4041-a519-96ef0ffbdb7b-MTYZOA-38275.pdf")</f>
        <v>https://transparencia.cidesi.mx/comprobantes/2021/CQ2100812 /C4DBM121023M10-03-09-2021-075615934-dde11f94-54e3-4041-a519-96ef0ffbdb7b-MTYZOA-38275.pdf</v>
      </c>
      <c r="AO1068" t="str">
        <f>HYPERLINK("https://transparencia.cidesi.mx/comprobantes/2021/CQ2100812 /C4DBM121023M10-03-09-2021-075615934-dde11f94-54e3-4041-a519-96ef0ffbdb7b-MTYZOA-38275.xml")</f>
        <v>https://transparencia.cidesi.mx/comprobantes/2021/CQ2100812 /C4DBM121023M10-03-09-2021-075615934-dde11f94-54e3-4041-a519-96ef0ffbdb7b-MTYZOA-38275.xml</v>
      </c>
      <c r="AP1068" t="s">
        <v>1991</v>
      </c>
      <c r="AQ1068" t="s">
        <v>1992</v>
      </c>
      <c r="AR1068" t="s">
        <v>1993</v>
      </c>
      <c r="AS1068" t="s">
        <v>1987</v>
      </c>
      <c r="AT1068" s="1">
        <v>44454</v>
      </c>
      <c r="AU1068" s="1">
        <v>44467</v>
      </c>
    </row>
    <row r="1069" spans="1:47" x14ac:dyDescent="0.3">
      <c r="A1069" t="s">
        <v>47</v>
      </c>
      <c r="B1069" t="s">
        <v>224</v>
      </c>
      <c r="C1069" t="s">
        <v>225</v>
      </c>
      <c r="D1069">
        <v>100009</v>
      </c>
      <c r="E1069" t="s">
        <v>1995</v>
      </c>
      <c r="F1069" t="s">
        <v>912</v>
      </c>
      <c r="G1069" t="s">
        <v>1996</v>
      </c>
      <c r="H1069" t="s">
        <v>1997</v>
      </c>
      <c r="I1069" t="s">
        <v>54</v>
      </c>
      <c r="J1069" t="s">
        <v>1998</v>
      </c>
      <c r="K1069" t="s">
        <v>56</v>
      </c>
      <c r="L1069">
        <v>0</v>
      </c>
      <c r="M1069" t="s">
        <v>73</v>
      </c>
      <c r="N1069">
        <v>0</v>
      </c>
      <c r="O1069" t="s">
        <v>58</v>
      </c>
      <c r="P1069" t="s">
        <v>59</v>
      </c>
      <c r="Q1069" t="s">
        <v>216</v>
      </c>
      <c r="R1069" t="s">
        <v>1998</v>
      </c>
      <c r="S1069" s="1">
        <v>44414</v>
      </c>
      <c r="T1069" s="1">
        <v>44414</v>
      </c>
      <c r="U1069">
        <v>37501</v>
      </c>
      <c r="V1069" t="s">
        <v>61</v>
      </c>
      <c r="W1069" t="s">
        <v>1999</v>
      </c>
      <c r="X1069" s="1">
        <v>44418</v>
      </c>
      <c r="Y1069" t="s">
        <v>63</v>
      </c>
      <c r="Z1069">
        <v>69</v>
      </c>
      <c r="AA1069">
        <v>0</v>
      </c>
      <c r="AB1069">
        <v>0</v>
      </c>
      <c r="AC1069">
        <v>0</v>
      </c>
      <c r="AD1069">
        <v>69</v>
      </c>
      <c r="AE1069">
        <v>539</v>
      </c>
      <c r="AF1069">
        <v>545</v>
      </c>
      <c r="AG1069" t="s">
        <v>2000</v>
      </c>
      <c r="AH1069" t="s">
        <v>65</v>
      </c>
      <c r="AI1069" t="s">
        <v>65</v>
      </c>
      <c r="AJ1069" t="s">
        <v>66</v>
      </c>
      <c r="AK1069" t="s">
        <v>66</v>
      </c>
      <c r="AL1069" t="s">
        <v>66</v>
      </c>
      <c r="AM1069" s="2" t="str">
        <f>HYPERLINK("https://transparencia.cidesi.mx/comprobantes/2021/CQ2100625 /C1FACTURA_1628602141359_340427609.pdf")</f>
        <v>https://transparencia.cidesi.mx/comprobantes/2021/CQ2100625 /C1FACTURA_1628602141359_340427609.pdf</v>
      </c>
      <c r="AN1069" t="str">
        <f>HYPERLINK("https://transparencia.cidesi.mx/comprobantes/2021/CQ2100625 /C1FACTURA_1628602141359_340427609.pdf")</f>
        <v>https://transparencia.cidesi.mx/comprobantes/2021/CQ2100625 /C1FACTURA_1628602141359_340427609.pdf</v>
      </c>
      <c r="AO1069" t="str">
        <f>HYPERLINK("https://transparencia.cidesi.mx/comprobantes/2021/CQ2100625 /C1FACTURA_1628602141359_340427609.xml")</f>
        <v>https://transparencia.cidesi.mx/comprobantes/2021/CQ2100625 /C1FACTURA_1628602141359_340427609.xml</v>
      </c>
      <c r="AP1069" t="s">
        <v>2001</v>
      </c>
      <c r="AQ1069" t="s">
        <v>2001</v>
      </c>
      <c r="AR1069" t="s">
        <v>2002</v>
      </c>
      <c r="AS1069" t="s">
        <v>2003</v>
      </c>
      <c r="AT1069" s="1">
        <v>44421</v>
      </c>
      <c r="AU1069" s="1">
        <v>44425</v>
      </c>
    </row>
    <row r="1070" spans="1:47" x14ac:dyDescent="0.3">
      <c r="A1070" t="s">
        <v>47</v>
      </c>
      <c r="B1070" t="s">
        <v>224</v>
      </c>
      <c r="C1070" t="s">
        <v>225</v>
      </c>
      <c r="D1070">
        <v>100009</v>
      </c>
      <c r="E1070" t="s">
        <v>1995</v>
      </c>
      <c r="F1070" t="s">
        <v>912</v>
      </c>
      <c r="G1070" t="s">
        <v>1996</v>
      </c>
      <c r="H1070" t="s">
        <v>1997</v>
      </c>
      <c r="I1070" t="s">
        <v>54</v>
      </c>
      <c r="J1070" t="s">
        <v>1998</v>
      </c>
      <c r="K1070" t="s">
        <v>56</v>
      </c>
      <c r="L1070">
        <v>0</v>
      </c>
      <c r="M1070" t="s">
        <v>73</v>
      </c>
      <c r="N1070">
        <v>0</v>
      </c>
      <c r="O1070" t="s">
        <v>58</v>
      </c>
      <c r="P1070" t="s">
        <v>59</v>
      </c>
      <c r="Q1070" t="s">
        <v>216</v>
      </c>
      <c r="R1070" t="s">
        <v>1998</v>
      </c>
      <c r="S1070" s="1">
        <v>44414</v>
      </c>
      <c r="T1070" s="1">
        <v>44414</v>
      </c>
      <c r="U1070">
        <v>37501</v>
      </c>
      <c r="V1070" t="s">
        <v>61</v>
      </c>
      <c r="W1070" t="s">
        <v>1999</v>
      </c>
      <c r="X1070" s="1">
        <v>44418</v>
      </c>
      <c r="Y1070" t="s">
        <v>63</v>
      </c>
      <c r="Z1070">
        <v>405.18</v>
      </c>
      <c r="AA1070">
        <v>16</v>
      </c>
      <c r="AB1070">
        <v>64.819999999999993</v>
      </c>
      <c r="AC1070">
        <v>0</v>
      </c>
      <c r="AD1070">
        <v>470</v>
      </c>
      <c r="AE1070">
        <v>539</v>
      </c>
      <c r="AF1070">
        <v>545</v>
      </c>
      <c r="AG1070" t="s">
        <v>2000</v>
      </c>
      <c r="AH1070" t="s">
        <v>65</v>
      </c>
      <c r="AI1070" t="s">
        <v>65</v>
      </c>
      <c r="AJ1070" t="s">
        <v>66</v>
      </c>
      <c r="AK1070" t="s">
        <v>66</v>
      </c>
      <c r="AL1070" t="s">
        <v>66</v>
      </c>
      <c r="AM1070" s="2" t="str">
        <f>HYPERLINK("https://transparencia.cidesi.mx/comprobantes/2021/CQ2100625 /C2E1AE76DD-F88D-4CF3-B772-38EB4A4D5869.pdf")</f>
        <v>https://transparencia.cidesi.mx/comprobantes/2021/CQ2100625 /C2E1AE76DD-F88D-4CF3-B772-38EB4A4D5869.pdf</v>
      </c>
      <c r="AN1070" t="str">
        <f>HYPERLINK("https://transparencia.cidesi.mx/comprobantes/2021/CQ2100625 /C2E1AE76DD-F88D-4CF3-B772-38EB4A4D5869.pdf")</f>
        <v>https://transparencia.cidesi.mx/comprobantes/2021/CQ2100625 /C2E1AE76DD-F88D-4CF3-B772-38EB4A4D5869.pdf</v>
      </c>
      <c r="AO1070" t="str">
        <f>HYPERLINK("https://transparencia.cidesi.mx/comprobantes/2021/CQ2100625 /C2E1AE76DD-F88D-4CF3-B772-38EB4A4D5869.xml")</f>
        <v>https://transparencia.cidesi.mx/comprobantes/2021/CQ2100625 /C2E1AE76DD-F88D-4CF3-B772-38EB4A4D5869.xml</v>
      </c>
      <c r="AP1070" t="s">
        <v>2001</v>
      </c>
      <c r="AQ1070" t="s">
        <v>2001</v>
      </c>
      <c r="AR1070" t="s">
        <v>2002</v>
      </c>
      <c r="AS1070" t="s">
        <v>2003</v>
      </c>
      <c r="AT1070" s="1">
        <v>44421</v>
      </c>
      <c r="AU1070" s="1">
        <v>44425</v>
      </c>
    </row>
    <row r="1071" spans="1:47" x14ac:dyDescent="0.3">
      <c r="A1071" t="s">
        <v>47</v>
      </c>
      <c r="B1071" t="s">
        <v>224</v>
      </c>
      <c r="C1071" t="s">
        <v>225</v>
      </c>
      <c r="D1071">
        <v>100009</v>
      </c>
      <c r="E1071" t="s">
        <v>1995</v>
      </c>
      <c r="F1071" t="s">
        <v>912</v>
      </c>
      <c r="G1071" t="s">
        <v>1996</v>
      </c>
      <c r="H1071" t="s">
        <v>2004</v>
      </c>
      <c r="I1071" t="s">
        <v>54</v>
      </c>
      <c r="J1071" t="s">
        <v>2005</v>
      </c>
      <c r="K1071" t="s">
        <v>56</v>
      </c>
      <c r="L1071">
        <v>0</v>
      </c>
      <c r="M1071" t="s">
        <v>73</v>
      </c>
      <c r="N1071">
        <v>0</v>
      </c>
      <c r="O1071" t="s">
        <v>58</v>
      </c>
      <c r="P1071" t="s">
        <v>59</v>
      </c>
      <c r="Q1071" t="s">
        <v>252</v>
      </c>
      <c r="R1071" t="s">
        <v>2005</v>
      </c>
      <c r="S1071" s="1">
        <v>44439</v>
      </c>
      <c r="T1071" s="1">
        <v>44439</v>
      </c>
      <c r="U1071">
        <v>37501</v>
      </c>
      <c r="V1071" t="s">
        <v>61</v>
      </c>
      <c r="W1071" t="s">
        <v>2006</v>
      </c>
      <c r="X1071" s="1">
        <v>44441</v>
      </c>
      <c r="Y1071" t="s">
        <v>63</v>
      </c>
      <c r="Z1071">
        <v>63.31</v>
      </c>
      <c r="AA1071">
        <v>16</v>
      </c>
      <c r="AB1071">
        <v>2.69</v>
      </c>
      <c r="AC1071">
        <v>0</v>
      </c>
      <c r="AD1071">
        <v>66</v>
      </c>
      <c r="AE1071">
        <v>507</v>
      </c>
      <c r="AF1071">
        <v>545</v>
      </c>
      <c r="AG1071" t="s">
        <v>2000</v>
      </c>
      <c r="AH1071" t="s">
        <v>65</v>
      </c>
      <c r="AI1071" t="s">
        <v>65</v>
      </c>
      <c r="AJ1071" t="s">
        <v>66</v>
      </c>
      <c r="AK1071" t="s">
        <v>66</v>
      </c>
      <c r="AL1071" t="s">
        <v>66</v>
      </c>
      <c r="AM1071" s="2" t="str">
        <f>HYPERLINK("https://transparencia.cidesi.mx/comprobantes/2021/CQ2100724 /C1FACTURA_1630505448912_343552273.pdf")</f>
        <v>https://transparencia.cidesi.mx/comprobantes/2021/CQ2100724 /C1FACTURA_1630505448912_343552273.pdf</v>
      </c>
      <c r="AN1071" t="str">
        <f>HYPERLINK("https://transparencia.cidesi.mx/comprobantes/2021/CQ2100724 /C1FACTURA_1630505448912_343552273.pdf")</f>
        <v>https://transparencia.cidesi.mx/comprobantes/2021/CQ2100724 /C1FACTURA_1630505448912_343552273.pdf</v>
      </c>
      <c r="AO1071" t="str">
        <f>HYPERLINK("https://transparencia.cidesi.mx/comprobantes/2021/CQ2100724 /C1FACTURA_1630505452492_343552273.xml")</f>
        <v>https://transparencia.cidesi.mx/comprobantes/2021/CQ2100724 /C1FACTURA_1630505452492_343552273.xml</v>
      </c>
      <c r="AP1071" t="s">
        <v>2007</v>
      </c>
      <c r="AQ1071" t="s">
        <v>2007</v>
      </c>
      <c r="AR1071" t="s">
        <v>2008</v>
      </c>
      <c r="AS1071" t="s">
        <v>2009</v>
      </c>
      <c r="AT1071" s="1">
        <v>44441</v>
      </c>
      <c r="AU1071" s="1">
        <v>44442</v>
      </c>
    </row>
    <row r="1072" spans="1:47" x14ac:dyDescent="0.3">
      <c r="A1072" t="s">
        <v>47</v>
      </c>
      <c r="B1072" t="s">
        <v>224</v>
      </c>
      <c r="C1072" t="s">
        <v>225</v>
      </c>
      <c r="D1072">
        <v>100009</v>
      </c>
      <c r="E1072" t="s">
        <v>1995</v>
      </c>
      <c r="F1072" t="s">
        <v>912</v>
      </c>
      <c r="G1072" t="s">
        <v>1996</v>
      </c>
      <c r="H1072" t="s">
        <v>2004</v>
      </c>
      <c r="I1072" t="s">
        <v>54</v>
      </c>
      <c r="J1072" t="s">
        <v>2005</v>
      </c>
      <c r="K1072" t="s">
        <v>56</v>
      </c>
      <c r="L1072">
        <v>0</v>
      </c>
      <c r="M1072" t="s">
        <v>73</v>
      </c>
      <c r="N1072">
        <v>0</v>
      </c>
      <c r="O1072" t="s">
        <v>58</v>
      </c>
      <c r="P1072" t="s">
        <v>59</v>
      </c>
      <c r="Q1072" t="s">
        <v>252</v>
      </c>
      <c r="R1072" t="s">
        <v>2005</v>
      </c>
      <c r="S1072" s="1">
        <v>44439</v>
      </c>
      <c r="T1072" s="1">
        <v>44439</v>
      </c>
      <c r="U1072">
        <v>37501</v>
      </c>
      <c r="V1072" t="s">
        <v>61</v>
      </c>
      <c r="W1072" t="s">
        <v>2006</v>
      </c>
      <c r="X1072" s="1">
        <v>44441</v>
      </c>
      <c r="Y1072" t="s">
        <v>63</v>
      </c>
      <c r="Z1072">
        <v>345.69</v>
      </c>
      <c r="AA1072">
        <v>16</v>
      </c>
      <c r="AB1072">
        <v>55.31</v>
      </c>
      <c r="AC1072">
        <v>40</v>
      </c>
      <c r="AD1072">
        <v>441</v>
      </c>
      <c r="AE1072">
        <v>507</v>
      </c>
      <c r="AF1072">
        <v>545</v>
      </c>
      <c r="AG1072" t="s">
        <v>2000</v>
      </c>
      <c r="AH1072" t="s">
        <v>65</v>
      </c>
      <c r="AI1072" t="s">
        <v>65</v>
      </c>
      <c r="AJ1072" t="s">
        <v>66</v>
      </c>
      <c r="AK1072" t="s">
        <v>66</v>
      </c>
      <c r="AL1072" t="s">
        <v>66</v>
      </c>
      <c r="AM1072" s="2" t="str">
        <f>HYPERLINK("https://transparencia.cidesi.mx/comprobantes/2021/CQ2100724 /C2GEX0108298K9FB0000090796.pdf")</f>
        <v>https://transparencia.cidesi.mx/comprobantes/2021/CQ2100724 /C2GEX0108298K9FB0000090796.pdf</v>
      </c>
      <c r="AN1072" t="str">
        <f>HYPERLINK("https://transparencia.cidesi.mx/comprobantes/2021/CQ2100724 /C2GEX0108298K9FB0000090796.pdf")</f>
        <v>https://transparencia.cidesi.mx/comprobantes/2021/CQ2100724 /C2GEX0108298K9FB0000090796.pdf</v>
      </c>
      <c r="AO1072" t="str">
        <f>HYPERLINK("https://transparencia.cidesi.mx/comprobantes/2021/CQ2100724 /C2GEX0108298K9FB0000090796.xml")</f>
        <v>https://transparencia.cidesi.mx/comprobantes/2021/CQ2100724 /C2GEX0108298K9FB0000090796.xml</v>
      </c>
      <c r="AP1072" t="s">
        <v>2007</v>
      </c>
      <c r="AQ1072" t="s">
        <v>2007</v>
      </c>
      <c r="AR1072" t="s">
        <v>2008</v>
      </c>
      <c r="AS1072" t="s">
        <v>2009</v>
      </c>
      <c r="AT1072" s="1">
        <v>44441</v>
      </c>
      <c r="AU1072" s="1">
        <v>44442</v>
      </c>
    </row>
    <row r="1073" spans="1:47" x14ac:dyDescent="0.3">
      <c r="A1073" t="s">
        <v>47</v>
      </c>
      <c r="B1073" t="s">
        <v>224</v>
      </c>
      <c r="C1073" t="s">
        <v>225</v>
      </c>
      <c r="D1073">
        <v>100009</v>
      </c>
      <c r="E1073" t="s">
        <v>1995</v>
      </c>
      <c r="F1073" t="s">
        <v>912</v>
      </c>
      <c r="G1073" t="s">
        <v>1996</v>
      </c>
      <c r="H1073" t="s">
        <v>2010</v>
      </c>
      <c r="I1073" t="s">
        <v>54</v>
      </c>
      <c r="J1073" t="s">
        <v>2011</v>
      </c>
      <c r="K1073" t="s">
        <v>56</v>
      </c>
      <c r="L1073">
        <v>0</v>
      </c>
      <c r="M1073" t="s">
        <v>73</v>
      </c>
      <c r="N1073">
        <v>0</v>
      </c>
      <c r="O1073" t="s">
        <v>58</v>
      </c>
      <c r="P1073" t="s">
        <v>59</v>
      </c>
      <c r="Q1073" t="s">
        <v>216</v>
      </c>
      <c r="R1073" t="s">
        <v>2011</v>
      </c>
      <c r="S1073" s="1">
        <v>44446</v>
      </c>
      <c r="T1073" s="1">
        <v>44446</v>
      </c>
      <c r="U1073">
        <v>37501</v>
      </c>
      <c r="V1073" t="s">
        <v>61</v>
      </c>
      <c r="W1073" t="s">
        <v>2012</v>
      </c>
      <c r="X1073" s="1">
        <v>44449</v>
      </c>
      <c r="Y1073" t="s">
        <v>63</v>
      </c>
      <c r="Z1073">
        <v>312.94</v>
      </c>
      <c r="AA1073">
        <v>16</v>
      </c>
      <c r="AB1073">
        <v>50.07</v>
      </c>
      <c r="AC1073">
        <v>36.29</v>
      </c>
      <c r="AD1073">
        <v>399.3</v>
      </c>
      <c r="AE1073">
        <v>448.3</v>
      </c>
      <c r="AF1073">
        <v>545</v>
      </c>
      <c r="AG1073" t="s">
        <v>2000</v>
      </c>
      <c r="AH1073" t="s">
        <v>65</v>
      </c>
      <c r="AI1073" t="s">
        <v>65</v>
      </c>
      <c r="AJ1073" t="s">
        <v>66</v>
      </c>
      <c r="AK1073" t="s">
        <v>66</v>
      </c>
      <c r="AL1073" t="s">
        <v>66</v>
      </c>
      <c r="AM1073" s="2" t="str">
        <f>HYPERLINK("https://transparencia.cidesi.mx/comprobantes/2021/CQ2100778 /C1975DD2BD-4FEC-4408-A60D-5AB8004C02A8.pdf")</f>
        <v>https://transparencia.cidesi.mx/comprobantes/2021/CQ2100778 /C1975DD2BD-4FEC-4408-A60D-5AB8004C02A8.pdf</v>
      </c>
      <c r="AN1073" t="str">
        <f>HYPERLINK("https://transparencia.cidesi.mx/comprobantes/2021/CQ2100778 /C1975DD2BD-4FEC-4408-A60D-5AB8004C02A8.pdf")</f>
        <v>https://transparencia.cidesi.mx/comprobantes/2021/CQ2100778 /C1975DD2BD-4FEC-4408-A60D-5AB8004C02A8.pdf</v>
      </c>
      <c r="AO1073" t="str">
        <f>HYPERLINK("https://transparencia.cidesi.mx/comprobantes/2021/CQ2100778 /C1975DD2BD-4FEC-4408-A60D-5AB8004C02A8.xml")</f>
        <v>https://transparencia.cidesi.mx/comprobantes/2021/CQ2100778 /C1975DD2BD-4FEC-4408-A60D-5AB8004C02A8.xml</v>
      </c>
      <c r="AP1073" t="s">
        <v>2013</v>
      </c>
      <c r="AQ1073" t="s">
        <v>2014</v>
      </c>
      <c r="AR1073" t="s">
        <v>2015</v>
      </c>
      <c r="AS1073" t="s">
        <v>2016</v>
      </c>
      <c r="AT1073" s="1">
        <v>44452</v>
      </c>
      <c r="AU1073" s="1">
        <v>44453</v>
      </c>
    </row>
    <row r="1074" spans="1:47" x14ac:dyDescent="0.3">
      <c r="A1074" t="s">
        <v>47</v>
      </c>
      <c r="B1074" t="s">
        <v>224</v>
      </c>
      <c r="C1074" t="s">
        <v>225</v>
      </c>
      <c r="D1074">
        <v>100009</v>
      </c>
      <c r="E1074" t="s">
        <v>1995</v>
      </c>
      <c r="F1074" t="s">
        <v>912</v>
      </c>
      <c r="G1074" t="s">
        <v>1996</v>
      </c>
      <c r="H1074" t="s">
        <v>2010</v>
      </c>
      <c r="I1074" t="s">
        <v>54</v>
      </c>
      <c r="J1074" t="s">
        <v>2011</v>
      </c>
      <c r="K1074" t="s">
        <v>56</v>
      </c>
      <c r="L1074">
        <v>0</v>
      </c>
      <c r="M1074" t="s">
        <v>73</v>
      </c>
      <c r="N1074">
        <v>0</v>
      </c>
      <c r="O1074" t="s">
        <v>58</v>
      </c>
      <c r="P1074" t="s">
        <v>59</v>
      </c>
      <c r="Q1074" t="s">
        <v>216</v>
      </c>
      <c r="R1074" t="s">
        <v>2011</v>
      </c>
      <c r="S1074" s="1">
        <v>44446</v>
      </c>
      <c r="T1074" s="1">
        <v>44446</v>
      </c>
      <c r="U1074">
        <v>37501</v>
      </c>
      <c r="V1074" t="s">
        <v>61</v>
      </c>
      <c r="W1074" t="s">
        <v>2012</v>
      </c>
      <c r="X1074" s="1">
        <v>44449</v>
      </c>
      <c r="Y1074" t="s">
        <v>63</v>
      </c>
      <c r="Z1074">
        <v>49</v>
      </c>
      <c r="AA1074">
        <v>0</v>
      </c>
      <c r="AB1074">
        <v>0</v>
      </c>
      <c r="AC1074">
        <v>0</v>
      </c>
      <c r="AD1074">
        <v>49</v>
      </c>
      <c r="AE1074">
        <v>448.3</v>
      </c>
      <c r="AF1074">
        <v>545</v>
      </c>
      <c r="AG1074" t="s">
        <v>2000</v>
      </c>
      <c r="AH1074" t="s">
        <v>65</v>
      </c>
      <c r="AI1074" t="s">
        <v>65</v>
      </c>
      <c r="AJ1074" t="s">
        <v>66</v>
      </c>
      <c r="AK1074" t="s">
        <v>66</v>
      </c>
      <c r="AL1074" t="s">
        <v>66</v>
      </c>
      <c r="AM1074" s="2" t="str">
        <f>HYPERLINK("https://transparencia.cidesi.mx/comprobantes/2021/CQ2100778 /C2FACTURA_1631281989959_344330849.pdf")</f>
        <v>https://transparencia.cidesi.mx/comprobantes/2021/CQ2100778 /C2FACTURA_1631281989959_344330849.pdf</v>
      </c>
      <c r="AN1074" t="str">
        <f>HYPERLINK("https://transparencia.cidesi.mx/comprobantes/2021/CQ2100778 /C2FACTURA_1631281989959_344330849.pdf")</f>
        <v>https://transparencia.cidesi.mx/comprobantes/2021/CQ2100778 /C2FACTURA_1631281989959_344330849.pdf</v>
      </c>
      <c r="AO1074" t="str">
        <f>HYPERLINK("https://transparencia.cidesi.mx/comprobantes/2021/CQ2100778 /C2FACTURA_1631281995179_344330849.xml")</f>
        <v>https://transparencia.cidesi.mx/comprobantes/2021/CQ2100778 /C2FACTURA_1631281995179_344330849.xml</v>
      </c>
      <c r="AP1074" t="s">
        <v>2013</v>
      </c>
      <c r="AQ1074" t="s">
        <v>2014</v>
      </c>
      <c r="AR1074" t="s">
        <v>2015</v>
      </c>
      <c r="AS1074" t="s">
        <v>2016</v>
      </c>
      <c r="AT1074" s="1">
        <v>44452</v>
      </c>
      <c r="AU1074" s="1">
        <v>44453</v>
      </c>
    </row>
    <row r="1075" spans="1:47" x14ac:dyDescent="0.3">
      <c r="A1075" t="s">
        <v>47</v>
      </c>
      <c r="B1075" t="s">
        <v>224</v>
      </c>
      <c r="C1075" t="s">
        <v>225</v>
      </c>
      <c r="D1075">
        <v>100009</v>
      </c>
      <c r="E1075" t="s">
        <v>1995</v>
      </c>
      <c r="F1075" t="s">
        <v>912</v>
      </c>
      <c r="G1075" t="s">
        <v>1996</v>
      </c>
      <c r="H1075" t="s">
        <v>2017</v>
      </c>
      <c r="I1075" t="s">
        <v>54</v>
      </c>
      <c r="J1075" t="s">
        <v>2018</v>
      </c>
      <c r="K1075" t="s">
        <v>56</v>
      </c>
      <c r="L1075">
        <v>0</v>
      </c>
      <c r="M1075" t="s">
        <v>73</v>
      </c>
      <c r="N1075">
        <v>0</v>
      </c>
      <c r="O1075" t="s">
        <v>58</v>
      </c>
      <c r="P1075" t="s">
        <v>59</v>
      </c>
      <c r="Q1075" t="s">
        <v>216</v>
      </c>
      <c r="R1075" t="s">
        <v>2018</v>
      </c>
      <c r="S1075" s="1">
        <v>44447</v>
      </c>
      <c r="T1075" s="1">
        <v>44447</v>
      </c>
      <c r="U1075">
        <v>37501</v>
      </c>
      <c r="V1075" t="s">
        <v>61</v>
      </c>
      <c r="W1075" t="s">
        <v>2019</v>
      </c>
      <c r="X1075" s="1">
        <v>44449</v>
      </c>
      <c r="Y1075" t="s">
        <v>63</v>
      </c>
      <c r="Z1075">
        <v>321.56</v>
      </c>
      <c r="AA1075">
        <v>16</v>
      </c>
      <c r="AB1075">
        <v>51.44</v>
      </c>
      <c r="AC1075">
        <v>37.299999999999997</v>
      </c>
      <c r="AD1075">
        <v>410.3</v>
      </c>
      <c r="AE1075">
        <v>492.3</v>
      </c>
      <c r="AF1075">
        <v>545</v>
      </c>
      <c r="AG1075" t="s">
        <v>2000</v>
      </c>
      <c r="AH1075" t="s">
        <v>65</v>
      </c>
      <c r="AI1075" t="s">
        <v>65</v>
      </c>
      <c r="AJ1075" t="s">
        <v>66</v>
      </c>
      <c r="AK1075" t="s">
        <v>66</v>
      </c>
      <c r="AL1075" t="s">
        <v>66</v>
      </c>
      <c r="AM1075" s="2" t="str">
        <f>HYPERLINK("https://transparencia.cidesi.mx/comprobantes/2021/CQ2100780 /C1056D48A1-ED05-4B35-8F6A-7E9FF3D48A4F.pdf")</f>
        <v>https://transparencia.cidesi.mx/comprobantes/2021/CQ2100780 /C1056D48A1-ED05-4B35-8F6A-7E9FF3D48A4F.pdf</v>
      </c>
      <c r="AN1075" t="str">
        <f>HYPERLINK("https://transparencia.cidesi.mx/comprobantes/2021/CQ2100780 /C1056D48A1-ED05-4B35-8F6A-7E9FF3D48A4F.pdf")</f>
        <v>https://transparencia.cidesi.mx/comprobantes/2021/CQ2100780 /C1056D48A1-ED05-4B35-8F6A-7E9FF3D48A4F.pdf</v>
      </c>
      <c r="AO1075" t="str">
        <f>HYPERLINK("https://transparencia.cidesi.mx/comprobantes/2021/CQ2100780 /C1056D48A1-ED05-4B35-8F6A-7E9FF3D48A4F.xml")</f>
        <v>https://transparencia.cidesi.mx/comprobantes/2021/CQ2100780 /C1056D48A1-ED05-4B35-8F6A-7E9FF3D48A4F.xml</v>
      </c>
      <c r="AP1075" t="s">
        <v>2020</v>
      </c>
      <c r="AQ1075" t="s">
        <v>2021</v>
      </c>
      <c r="AR1075" t="s">
        <v>2022</v>
      </c>
      <c r="AS1075" t="s">
        <v>2016</v>
      </c>
      <c r="AT1075" s="1">
        <v>44452</v>
      </c>
      <c r="AU1075" s="1">
        <v>44453</v>
      </c>
    </row>
    <row r="1076" spans="1:47" x14ac:dyDescent="0.3">
      <c r="A1076" t="s">
        <v>47</v>
      </c>
      <c r="B1076" t="s">
        <v>224</v>
      </c>
      <c r="C1076" t="s">
        <v>225</v>
      </c>
      <c r="D1076">
        <v>100009</v>
      </c>
      <c r="E1076" t="s">
        <v>1995</v>
      </c>
      <c r="F1076" t="s">
        <v>912</v>
      </c>
      <c r="G1076" t="s">
        <v>1996</v>
      </c>
      <c r="H1076" t="s">
        <v>2017</v>
      </c>
      <c r="I1076" t="s">
        <v>54</v>
      </c>
      <c r="J1076" t="s">
        <v>2018</v>
      </c>
      <c r="K1076" t="s">
        <v>56</v>
      </c>
      <c r="L1076">
        <v>0</v>
      </c>
      <c r="M1076" t="s">
        <v>73</v>
      </c>
      <c r="N1076">
        <v>0</v>
      </c>
      <c r="O1076" t="s">
        <v>58</v>
      </c>
      <c r="P1076" t="s">
        <v>59</v>
      </c>
      <c r="Q1076" t="s">
        <v>216</v>
      </c>
      <c r="R1076" t="s">
        <v>2018</v>
      </c>
      <c r="S1076" s="1">
        <v>44447</v>
      </c>
      <c r="T1076" s="1">
        <v>44447</v>
      </c>
      <c r="U1076">
        <v>37501</v>
      </c>
      <c r="V1076" t="s">
        <v>61</v>
      </c>
      <c r="W1076" t="s">
        <v>2019</v>
      </c>
      <c r="X1076" s="1">
        <v>44449</v>
      </c>
      <c r="Y1076" t="s">
        <v>63</v>
      </c>
      <c r="Z1076">
        <v>77.86</v>
      </c>
      <c r="AA1076">
        <v>16</v>
      </c>
      <c r="AB1076">
        <v>4.1399999999999997</v>
      </c>
      <c r="AC1076">
        <v>0</v>
      </c>
      <c r="AD1076">
        <v>82</v>
      </c>
      <c r="AE1076">
        <v>492.3</v>
      </c>
      <c r="AF1076">
        <v>545</v>
      </c>
      <c r="AG1076" t="s">
        <v>2000</v>
      </c>
      <c r="AH1076" t="s">
        <v>65</v>
      </c>
      <c r="AI1076" t="s">
        <v>65</v>
      </c>
      <c r="AJ1076" t="s">
        <v>66</v>
      </c>
      <c r="AK1076" t="s">
        <v>66</v>
      </c>
      <c r="AL1076" t="s">
        <v>66</v>
      </c>
      <c r="AM1076" s="2" t="str">
        <f>HYPERLINK("https://transparencia.cidesi.mx/comprobantes/2021/CQ2100780 /C2FACTURA_1631282163218_344331179.pdf")</f>
        <v>https://transparencia.cidesi.mx/comprobantes/2021/CQ2100780 /C2FACTURA_1631282163218_344331179.pdf</v>
      </c>
      <c r="AN1076" t="str">
        <f>HYPERLINK("https://transparencia.cidesi.mx/comprobantes/2021/CQ2100780 /C2FACTURA_1631282163218_344331179.pdf")</f>
        <v>https://transparencia.cidesi.mx/comprobantes/2021/CQ2100780 /C2FACTURA_1631282163218_344331179.pdf</v>
      </c>
      <c r="AO1076" t="str">
        <f>HYPERLINK("https://transparencia.cidesi.mx/comprobantes/2021/CQ2100780 /C2FACTURA_1631282201948_344331179.xml")</f>
        <v>https://transparencia.cidesi.mx/comprobantes/2021/CQ2100780 /C2FACTURA_1631282201948_344331179.xml</v>
      </c>
      <c r="AP1076" t="s">
        <v>2020</v>
      </c>
      <c r="AQ1076" t="s">
        <v>2021</v>
      </c>
      <c r="AR1076" t="s">
        <v>2022</v>
      </c>
      <c r="AS1076" t="s">
        <v>2016</v>
      </c>
      <c r="AT1076" s="1">
        <v>44452</v>
      </c>
      <c r="AU1076" s="1">
        <v>44453</v>
      </c>
    </row>
    <row r="1077" spans="1:47" x14ac:dyDescent="0.3">
      <c r="A1077" t="s">
        <v>47</v>
      </c>
      <c r="B1077" t="s">
        <v>224</v>
      </c>
      <c r="C1077" t="s">
        <v>225</v>
      </c>
      <c r="D1077">
        <v>100009</v>
      </c>
      <c r="E1077" t="s">
        <v>1995</v>
      </c>
      <c r="F1077" t="s">
        <v>912</v>
      </c>
      <c r="G1077" t="s">
        <v>1996</v>
      </c>
      <c r="H1077" t="s">
        <v>2023</v>
      </c>
      <c r="I1077" t="s">
        <v>54</v>
      </c>
      <c r="J1077" t="s">
        <v>2011</v>
      </c>
      <c r="K1077" t="s">
        <v>56</v>
      </c>
      <c r="L1077">
        <v>0</v>
      </c>
      <c r="M1077" t="s">
        <v>73</v>
      </c>
      <c r="N1077">
        <v>0</v>
      </c>
      <c r="O1077" t="s">
        <v>58</v>
      </c>
      <c r="P1077" t="s">
        <v>59</v>
      </c>
      <c r="Q1077" t="s">
        <v>216</v>
      </c>
      <c r="R1077" t="s">
        <v>2011</v>
      </c>
      <c r="S1077" s="1">
        <v>44448</v>
      </c>
      <c r="T1077" s="1">
        <v>44448</v>
      </c>
      <c r="U1077">
        <v>37501</v>
      </c>
      <c r="V1077" t="s">
        <v>61</v>
      </c>
      <c r="W1077" t="s">
        <v>2024</v>
      </c>
      <c r="X1077" s="1">
        <v>44449</v>
      </c>
      <c r="Y1077" t="s">
        <v>63</v>
      </c>
      <c r="Z1077">
        <v>322.2</v>
      </c>
      <c r="AA1077">
        <v>16</v>
      </c>
      <c r="AB1077">
        <v>51.55</v>
      </c>
      <c r="AC1077">
        <v>37.369999999999997</v>
      </c>
      <c r="AD1077">
        <v>411.12</v>
      </c>
      <c r="AE1077">
        <v>487.12</v>
      </c>
      <c r="AF1077">
        <v>545</v>
      </c>
      <c r="AG1077" t="s">
        <v>2000</v>
      </c>
      <c r="AH1077" t="s">
        <v>65</v>
      </c>
      <c r="AI1077" t="s">
        <v>65</v>
      </c>
      <c r="AJ1077" t="s">
        <v>66</v>
      </c>
      <c r="AK1077" t="s">
        <v>66</v>
      </c>
      <c r="AL1077" t="s">
        <v>66</v>
      </c>
      <c r="AM1077" s="2" t="str">
        <f>HYPERLINK("https://transparencia.cidesi.mx/comprobantes/2021/CQ2100781 /C11A889E57-192B-4F42-8AD9-ACEA66ADBB1E.pdf")</f>
        <v>https://transparencia.cidesi.mx/comprobantes/2021/CQ2100781 /C11A889E57-192B-4F42-8AD9-ACEA66ADBB1E.pdf</v>
      </c>
      <c r="AN1077" t="str">
        <f>HYPERLINK("https://transparencia.cidesi.mx/comprobantes/2021/CQ2100781 /C11A889E57-192B-4F42-8AD9-ACEA66ADBB1E.pdf")</f>
        <v>https://transparencia.cidesi.mx/comprobantes/2021/CQ2100781 /C11A889E57-192B-4F42-8AD9-ACEA66ADBB1E.pdf</v>
      </c>
      <c r="AO1077" t="str">
        <f>HYPERLINK("https://transparencia.cidesi.mx/comprobantes/2021/CQ2100781 /C11A889E57-192B-4F42-8AD9-ACEA66ADBB1E.xml")</f>
        <v>https://transparencia.cidesi.mx/comprobantes/2021/CQ2100781 /C11A889E57-192B-4F42-8AD9-ACEA66ADBB1E.xml</v>
      </c>
      <c r="AP1077" t="s">
        <v>2020</v>
      </c>
      <c r="AQ1077" t="s">
        <v>2025</v>
      </c>
      <c r="AR1077" t="s">
        <v>2022</v>
      </c>
      <c r="AS1077" t="s">
        <v>2016</v>
      </c>
      <c r="AT1077" s="1">
        <v>44452</v>
      </c>
      <c r="AU1077" s="1">
        <v>44453</v>
      </c>
    </row>
    <row r="1078" spans="1:47" x14ac:dyDescent="0.3">
      <c r="A1078" t="s">
        <v>47</v>
      </c>
      <c r="B1078" t="s">
        <v>224</v>
      </c>
      <c r="C1078" t="s">
        <v>225</v>
      </c>
      <c r="D1078">
        <v>100009</v>
      </c>
      <c r="E1078" t="s">
        <v>1995</v>
      </c>
      <c r="F1078" t="s">
        <v>912</v>
      </c>
      <c r="G1078" t="s">
        <v>1996</v>
      </c>
      <c r="H1078" t="s">
        <v>2023</v>
      </c>
      <c r="I1078" t="s">
        <v>54</v>
      </c>
      <c r="J1078" t="s">
        <v>2011</v>
      </c>
      <c r="K1078" t="s">
        <v>56</v>
      </c>
      <c r="L1078">
        <v>0</v>
      </c>
      <c r="M1078" t="s">
        <v>73</v>
      </c>
      <c r="N1078">
        <v>0</v>
      </c>
      <c r="O1078" t="s">
        <v>58</v>
      </c>
      <c r="P1078" t="s">
        <v>59</v>
      </c>
      <c r="Q1078" t="s">
        <v>216</v>
      </c>
      <c r="R1078" t="s">
        <v>2011</v>
      </c>
      <c r="S1078" s="1">
        <v>44448</v>
      </c>
      <c r="T1078" s="1">
        <v>44448</v>
      </c>
      <c r="U1078">
        <v>37501</v>
      </c>
      <c r="V1078" t="s">
        <v>61</v>
      </c>
      <c r="W1078" t="s">
        <v>2024</v>
      </c>
      <c r="X1078" s="1">
        <v>44449</v>
      </c>
      <c r="Y1078" t="s">
        <v>63</v>
      </c>
      <c r="Z1078">
        <v>72.62</v>
      </c>
      <c r="AA1078">
        <v>16</v>
      </c>
      <c r="AB1078">
        <v>3.38</v>
      </c>
      <c r="AC1078">
        <v>0</v>
      </c>
      <c r="AD1078">
        <v>76</v>
      </c>
      <c r="AE1078">
        <v>487.12</v>
      </c>
      <c r="AF1078">
        <v>545</v>
      </c>
      <c r="AG1078" t="s">
        <v>2000</v>
      </c>
      <c r="AH1078" t="s">
        <v>65</v>
      </c>
      <c r="AI1078" t="s">
        <v>65</v>
      </c>
      <c r="AJ1078" t="s">
        <v>66</v>
      </c>
      <c r="AK1078" t="s">
        <v>66</v>
      </c>
      <c r="AL1078" t="s">
        <v>66</v>
      </c>
      <c r="AM1078" s="2" t="str">
        <f>HYPERLINK("https://transparencia.cidesi.mx/comprobantes/2021/CQ2100781 /C2FACTURA_1631282798948_344332311.pdf")</f>
        <v>https://transparencia.cidesi.mx/comprobantes/2021/CQ2100781 /C2FACTURA_1631282798948_344332311.pdf</v>
      </c>
      <c r="AN1078" t="str">
        <f>HYPERLINK("https://transparencia.cidesi.mx/comprobantes/2021/CQ2100781 /C2FACTURA_1631282798948_344332311.pdf")</f>
        <v>https://transparencia.cidesi.mx/comprobantes/2021/CQ2100781 /C2FACTURA_1631282798948_344332311.pdf</v>
      </c>
      <c r="AO1078" t="str">
        <f>HYPERLINK("https://transparencia.cidesi.mx/comprobantes/2021/CQ2100781 /C2FACTURA_1631282832168_344332311.xml")</f>
        <v>https://transparencia.cidesi.mx/comprobantes/2021/CQ2100781 /C2FACTURA_1631282832168_344332311.xml</v>
      </c>
      <c r="AP1078" t="s">
        <v>2020</v>
      </c>
      <c r="AQ1078" t="s">
        <v>2025</v>
      </c>
      <c r="AR1078" t="s">
        <v>2022</v>
      </c>
      <c r="AS1078" t="s">
        <v>2016</v>
      </c>
      <c r="AT1078" s="1">
        <v>44452</v>
      </c>
      <c r="AU1078" s="1">
        <v>44453</v>
      </c>
    </row>
    <row r="1079" spans="1:47" x14ac:dyDescent="0.3">
      <c r="A1079" t="s">
        <v>47</v>
      </c>
      <c r="B1079" t="s">
        <v>224</v>
      </c>
      <c r="C1079" t="s">
        <v>225</v>
      </c>
      <c r="D1079">
        <v>100009</v>
      </c>
      <c r="E1079" t="s">
        <v>1995</v>
      </c>
      <c r="F1079" t="s">
        <v>912</v>
      </c>
      <c r="G1079" t="s">
        <v>1996</v>
      </c>
      <c r="H1079" t="s">
        <v>2026</v>
      </c>
      <c r="I1079" t="s">
        <v>54</v>
      </c>
      <c r="J1079" t="s">
        <v>2018</v>
      </c>
      <c r="K1079" t="s">
        <v>56</v>
      </c>
      <c r="L1079">
        <v>0</v>
      </c>
      <c r="M1079" t="s">
        <v>73</v>
      </c>
      <c r="N1079">
        <v>0</v>
      </c>
      <c r="O1079" t="s">
        <v>58</v>
      </c>
      <c r="P1079" t="s">
        <v>59</v>
      </c>
      <c r="Q1079" t="s">
        <v>216</v>
      </c>
      <c r="R1079" t="s">
        <v>2018</v>
      </c>
      <c r="S1079" s="1">
        <v>44449</v>
      </c>
      <c r="T1079" s="1">
        <v>44449</v>
      </c>
      <c r="U1079">
        <v>37501</v>
      </c>
      <c r="V1079" t="s">
        <v>61</v>
      </c>
      <c r="W1079" t="s">
        <v>2027</v>
      </c>
      <c r="X1079" s="1">
        <v>44449</v>
      </c>
      <c r="Y1079" t="s">
        <v>63</v>
      </c>
      <c r="Z1079">
        <v>288.8</v>
      </c>
      <c r="AA1079">
        <v>16</v>
      </c>
      <c r="AB1079">
        <v>46.2</v>
      </c>
      <c r="AC1079">
        <v>33.5</v>
      </c>
      <c r="AD1079">
        <v>368.5</v>
      </c>
      <c r="AE1079">
        <v>419.5</v>
      </c>
      <c r="AF1079">
        <v>545</v>
      </c>
      <c r="AG1079" t="s">
        <v>2000</v>
      </c>
      <c r="AH1079" t="s">
        <v>65</v>
      </c>
      <c r="AI1079" t="s">
        <v>65</v>
      </c>
      <c r="AJ1079" t="s">
        <v>66</v>
      </c>
      <c r="AK1079" t="s">
        <v>66</v>
      </c>
      <c r="AL1079" t="s">
        <v>66</v>
      </c>
      <c r="AM1079" s="2" t="str">
        <f>HYPERLINK("https://transparencia.cidesi.mx/comprobantes/2021/CQ2100782 /C1082CBC62-789B-40C5-B5B6-A0BABEFC2DBD.pdf")</f>
        <v>https://transparencia.cidesi.mx/comprobantes/2021/CQ2100782 /C1082CBC62-789B-40C5-B5B6-A0BABEFC2DBD.pdf</v>
      </c>
      <c r="AN1079" t="str">
        <f>HYPERLINK("https://transparencia.cidesi.mx/comprobantes/2021/CQ2100782 /C1082CBC62-789B-40C5-B5B6-A0BABEFC2DBD.pdf")</f>
        <v>https://transparencia.cidesi.mx/comprobantes/2021/CQ2100782 /C1082CBC62-789B-40C5-B5B6-A0BABEFC2DBD.pdf</v>
      </c>
      <c r="AO1079" t="str">
        <f>HYPERLINK("https://transparencia.cidesi.mx/comprobantes/2021/CQ2100782 /C1082CBC62-789B-40C5-B5B6-A0BABEFC2DBD.xml")</f>
        <v>https://transparencia.cidesi.mx/comprobantes/2021/CQ2100782 /C1082CBC62-789B-40C5-B5B6-A0BABEFC2DBD.xml</v>
      </c>
      <c r="AP1079" t="s">
        <v>2020</v>
      </c>
      <c r="AQ1079" t="s">
        <v>2021</v>
      </c>
      <c r="AR1079" t="s">
        <v>2022</v>
      </c>
      <c r="AS1079" t="s">
        <v>2016</v>
      </c>
      <c r="AT1079" s="1">
        <v>44452</v>
      </c>
      <c r="AU1079" s="1">
        <v>44453</v>
      </c>
    </row>
    <row r="1080" spans="1:47" x14ac:dyDescent="0.3">
      <c r="A1080" t="s">
        <v>47</v>
      </c>
      <c r="B1080" t="s">
        <v>224</v>
      </c>
      <c r="C1080" t="s">
        <v>225</v>
      </c>
      <c r="D1080">
        <v>100009</v>
      </c>
      <c r="E1080" t="s">
        <v>1995</v>
      </c>
      <c r="F1080" t="s">
        <v>912</v>
      </c>
      <c r="G1080" t="s">
        <v>1996</v>
      </c>
      <c r="H1080" t="s">
        <v>2026</v>
      </c>
      <c r="I1080" t="s">
        <v>54</v>
      </c>
      <c r="J1080" t="s">
        <v>2018</v>
      </c>
      <c r="K1080" t="s">
        <v>56</v>
      </c>
      <c r="L1080">
        <v>0</v>
      </c>
      <c r="M1080" t="s">
        <v>73</v>
      </c>
      <c r="N1080">
        <v>0</v>
      </c>
      <c r="O1080" t="s">
        <v>58</v>
      </c>
      <c r="P1080" t="s">
        <v>59</v>
      </c>
      <c r="Q1080" t="s">
        <v>216</v>
      </c>
      <c r="R1080" t="s">
        <v>2018</v>
      </c>
      <c r="S1080" s="1">
        <v>44449</v>
      </c>
      <c r="T1080" s="1">
        <v>44449</v>
      </c>
      <c r="U1080">
        <v>37501</v>
      </c>
      <c r="V1080" t="s">
        <v>61</v>
      </c>
      <c r="W1080" t="s">
        <v>2027</v>
      </c>
      <c r="X1080" s="1">
        <v>44449</v>
      </c>
      <c r="Y1080" t="s">
        <v>63</v>
      </c>
      <c r="Z1080">
        <v>47.41</v>
      </c>
      <c r="AA1080">
        <v>16</v>
      </c>
      <c r="AB1080">
        <v>3.59</v>
      </c>
      <c r="AC1080">
        <v>0</v>
      </c>
      <c r="AD1080">
        <v>51</v>
      </c>
      <c r="AE1080">
        <v>419.5</v>
      </c>
      <c r="AF1080">
        <v>545</v>
      </c>
      <c r="AG1080" t="s">
        <v>2000</v>
      </c>
      <c r="AH1080" t="s">
        <v>65</v>
      </c>
      <c r="AI1080" t="s">
        <v>65</v>
      </c>
      <c r="AJ1080" t="s">
        <v>66</v>
      </c>
      <c r="AK1080" t="s">
        <v>66</v>
      </c>
      <c r="AL1080" t="s">
        <v>66</v>
      </c>
      <c r="AM1080" s="2" t="str">
        <f>HYPERLINK("https://transparencia.cidesi.mx/comprobantes/2021/CQ2100782 /C2FACTURA_1631308813695_344385663.pdf")</f>
        <v>https://transparencia.cidesi.mx/comprobantes/2021/CQ2100782 /C2FACTURA_1631308813695_344385663.pdf</v>
      </c>
      <c r="AN1080" t="str">
        <f>HYPERLINK("https://transparencia.cidesi.mx/comprobantes/2021/CQ2100782 /C2FACTURA_1631308813695_344385663.pdf")</f>
        <v>https://transparencia.cidesi.mx/comprobantes/2021/CQ2100782 /C2FACTURA_1631308813695_344385663.pdf</v>
      </c>
      <c r="AO1080" t="str">
        <f>HYPERLINK("https://transparencia.cidesi.mx/comprobantes/2021/CQ2100782 /C2FACTURA_1631308815075_344385663.xml")</f>
        <v>https://transparencia.cidesi.mx/comprobantes/2021/CQ2100782 /C2FACTURA_1631308815075_344385663.xml</v>
      </c>
      <c r="AP1080" t="s">
        <v>2020</v>
      </c>
      <c r="AQ1080" t="s">
        <v>2021</v>
      </c>
      <c r="AR1080" t="s">
        <v>2022</v>
      </c>
      <c r="AS1080" t="s">
        <v>2016</v>
      </c>
      <c r="AT1080" s="1">
        <v>44452</v>
      </c>
      <c r="AU1080" s="1">
        <v>44453</v>
      </c>
    </row>
    <row r="1081" spans="1:47" x14ac:dyDescent="0.3">
      <c r="A1081" t="s">
        <v>47</v>
      </c>
      <c r="B1081" t="s">
        <v>224</v>
      </c>
      <c r="C1081" t="s">
        <v>225</v>
      </c>
      <c r="D1081">
        <v>100009</v>
      </c>
      <c r="E1081" t="s">
        <v>1995</v>
      </c>
      <c r="F1081" t="s">
        <v>912</v>
      </c>
      <c r="G1081" t="s">
        <v>1996</v>
      </c>
      <c r="H1081" t="s">
        <v>2028</v>
      </c>
      <c r="I1081" t="s">
        <v>54</v>
      </c>
      <c r="J1081" t="s">
        <v>2029</v>
      </c>
      <c r="K1081" t="s">
        <v>56</v>
      </c>
      <c r="L1081">
        <v>0</v>
      </c>
      <c r="M1081" t="s">
        <v>73</v>
      </c>
      <c r="N1081">
        <v>0</v>
      </c>
      <c r="O1081" t="s">
        <v>58</v>
      </c>
      <c r="P1081" t="s">
        <v>59</v>
      </c>
      <c r="Q1081" t="s">
        <v>1284</v>
      </c>
      <c r="R1081" t="s">
        <v>2029</v>
      </c>
      <c r="S1081" s="1">
        <v>44452</v>
      </c>
      <c r="T1081" s="1">
        <v>44452</v>
      </c>
      <c r="U1081">
        <v>37501</v>
      </c>
      <c r="V1081" t="s">
        <v>61</v>
      </c>
      <c r="W1081" t="s">
        <v>2030</v>
      </c>
      <c r="X1081" s="1">
        <v>44454</v>
      </c>
      <c r="Y1081" t="s">
        <v>63</v>
      </c>
      <c r="Z1081">
        <v>396.55</v>
      </c>
      <c r="AA1081">
        <v>16</v>
      </c>
      <c r="AB1081">
        <v>63.45</v>
      </c>
      <c r="AC1081">
        <v>0</v>
      </c>
      <c r="AD1081">
        <v>460</v>
      </c>
      <c r="AE1081">
        <v>460</v>
      </c>
      <c r="AF1081">
        <v>545</v>
      </c>
      <c r="AG1081" t="s">
        <v>2000</v>
      </c>
      <c r="AH1081" t="s">
        <v>65</v>
      </c>
      <c r="AI1081" t="s">
        <v>65</v>
      </c>
      <c r="AJ1081" t="s">
        <v>66</v>
      </c>
      <c r="AK1081" t="s">
        <v>66</v>
      </c>
      <c r="AL1081" t="s">
        <v>66</v>
      </c>
      <c r="AM1081" s="2" t="str">
        <f>HYPERLINK("https://transparencia.cidesi.mx/comprobantes/2021/CQ2100814 /C1CID840309UG7FF0000006390.pdf")</f>
        <v>https://transparencia.cidesi.mx/comprobantes/2021/CQ2100814 /C1CID840309UG7FF0000006390.pdf</v>
      </c>
      <c r="AN1081" t="str">
        <f>HYPERLINK("https://transparencia.cidesi.mx/comprobantes/2021/CQ2100814 /C1CID840309UG7FF0000006390.pdf")</f>
        <v>https://transparencia.cidesi.mx/comprobantes/2021/CQ2100814 /C1CID840309UG7FF0000006390.pdf</v>
      </c>
      <c r="AO1081" t="str">
        <f>HYPERLINK("https://transparencia.cidesi.mx/comprobantes/2021/CQ2100814 /C1CID840309UG7FF0000006390.xml")</f>
        <v>https://transparencia.cidesi.mx/comprobantes/2021/CQ2100814 /C1CID840309UG7FF0000006390.xml</v>
      </c>
      <c r="AP1081" t="s">
        <v>2031</v>
      </c>
      <c r="AQ1081" t="s">
        <v>2032</v>
      </c>
      <c r="AR1081" t="s">
        <v>2022</v>
      </c>
      <c r="AS1081" t="s">
        <v>2033</v>
      </c>
      <c r="AT1081" s="1">
        <v>44454</v>
      </c>
      <c r="AU1081" s="1">
        <v>44467</v>
      </c>
    </row>
    <row r="1082" spans="1:47" x14ac:dyDescent="0.3">
      <c r="A1082" t="s">
        <v>47</v>
      </c>
      <c r="B1082" t="s">
        <v>224</v>
      </c>
      <c r="C1082" t="s">
        <v>225</v>
      </c>
      <c r="D1082">
        <v>100009</v>
      </c>
      <c r="E1082" t="s">
        <v>1995</v>
      </c>
      <c r="F1082" t="s">
        <v>912</v>
      </c>
      <c r="G1082" t="s">
        <v>1996</v>
      </c>
      <c r="H1082" t="s">
        <v>2034</v>
      </c>
      <c r="I1082" t="s">
        <v>54</v>
      </c>
      <c r="J1082" t="s">
        <v>2035</v>
      </c>
      <c r="K1082" t="s">
        <v>56</v>
      </c>
      <c r="L1082">
        <v>0</v>
      </c>
      <c r="M1082" t="s">
        <v>73</v>
      </c>
      <c r="N1082">
        <v>0</v>
      </c>
      <c r="O1082" t="s">
        <v>58</v>
      </c>
      <c r="P1082" t="s">
        <v>59</v>
      </c>
      <c r="Q1082" t="s">
        <v>1284</v>
      </c>
      <c r="R1082" t="s">
        <v>2035</v>
      </c>
      <c r="S1082" s="1">
        <v>44453</v>
      </c>
      <c r="T1082" s="1">
        <v>44453</v>
      </c>
      <c r="U1082">
        <v>37501</v>
      </c>
      <c r="V1082" t="s">
        <v>61</v>
      </c>
      <c r="W1082" t="s">
        <v>2036</v>
      </c>
      <c r="X1082" s="1">
        <v>44454</v>
      </c>
      <c r="Y1082" t="s">
        <v>63</v>
      </c>
      <c r="Z1082">
        <v>58</v>
      </c>
      <c r="AA1082">
        <v>0</v>
      </c>
      <c r="AB1082">
        <v>0</v>
      </c>
      <c r="AC1082">
        <v>0</v>
      </c>
      <c r="AD1082">
        <v>58</v>
      </c>
      <c r="AE1082">
        <v>400.75</v>
      </c>
      <c r="AF1082">
        <v>545</v>
      </c>
      <c r="AG1082" t="s">
        <v>2000</v>
      </c>
      <c r="AH1082" t="s">
        <v>65</v>
      </c>
      <c r="AI1082" t="s">
        <v>65</v>
      </c>
      <c r="AJ1082" t="s">
        <v>66</v>
      </c>
      <c r="AK1082" t="s">
        <v>66</v>
      </c>
      <c r="AL1082" t="s">
        <v>66</v>
      </c>
      <c r="AM1082" s="2" t="str">
        <f>HYPERLINK("https://transparencia.cidesi.mx/comprobantes/2021/CQ2100815 /C1FACTURA_1631720057731_344794521.pdf")</f>
        <v>https://transparencia.cidesi.mx/comprobantes/2021/CQ2100815 /C1FACTURA_1631720057731_344794521.pdf</v>
      </c>
      <c r="AN1082" t="str">
        <f>HYPERLINK("https://transparencia.cidesi.mx/comprobantes/2021/CQ2100815 /C1FACTURA_1631720057731_344794521.pdf")</f>
        <v>https://transparencia.cidesi.mx/comprobantes/2021/CQ2100815 /C1FACTURA_1631720057731_344794521.pdf</v>
      </c>
      <c r="AO1082" t="str">
        <f>HYPERLINK("https://transparencia.cidesi.mx/comprobantes/2021/CQ2100815 /C1FACTURA_1631720059021_344794521.xml")</f>
        <v>https://transparencia.cidesi.mx/comprobantes/2021/CQ2100815 /C1FACTURA_1631720059021_344794521.xml</v>
      </c>
      <c r="AP1082" t="s">
        <v>2031</v>
      </c>
      <c r="AQ1082" t="s">
        <v>2032</v>
      </c>
      <c r="AR1082" t="s">
        <v>2022</v>
      </c>
      <c r="AS1082" t="s">
        <v>2033</v>
      </c>
      <c r="AT1082" s="1">
        <v>44454</v>
      </c>
      <c r="AU1082" s="1">
        <v>44470</v>
      </c>
    </row>
    <row r="1083" spans="1:47" x14ac:dyDescent="0.3">
      <c r="A1083" t="s">
        <v>47</v>
      </c>
      <c r="B1083" t="s">
        <v>224</v>
      </c>
      <c r="C1083" t="s">
        <v>225</v>
      </c>
      <c r="D1083">
        <v>100009</v>
      </c>
      <c r="E1083" t="s">
        <v>1995</v>
      </c>
      <c r="F1083" t="s">
        <v>912</v>
      </c>
      <c r="G1083" t="s">
        <v>1996</v>
      </c>
      <c r="H1083" t="s">
        <v>2034</v>
      </c>
      <c r="I1083" t="s">
        <v>54</v>
      </c>
      <c r="J1083" t="s">
        <v>2035</v>
      </c>
      <c r="K1083" t="s">
        <v>56</v>
      </c>
      <c r="L1083">
        <v>0</v>
      </c>
      <c r="M1083" t="s">
        <v>73</v>
      </c>
      <c r="N1083">
        <v>0</v>
      </c>
      <c r="O1083" t="s">
        <v>58</v>
      </c>
      <c r="P1083" t="s">
        <v>59</v>
      </c>
      <c r="Q1083" t="s">
        <v>1284</v>
      </c>
      <c r="R1083" t="s">
        <v>2035</v>
      </c>
      <c r="S1083" s="1">
        <v>44453</v>
      </c>
      <c r="T1083" s="1">
        <v>44453</v>
      </c>
      <c r="U1083">
        <v>37501</v>
      </c>
      <c r="V1083" t="s">
        <v>61</v>
      </c>
      <c r="W1083" t="s">
        <v>2036</v>
      </c>
      <c r="X1083" s="1">
        <v>44454</v>
      </c>
      <c r="Y1083" t="s">
        <v>63</v>
      </c>
      <c r="Z1083">
        <v>295.47000000000003</v>
      </c>
      <c r="AA1083">
        <v>16</v>
      </c>
      <c r="AB1083">
        <v>47.28</v>
      </c>
      <c r="AC1083">
        <v>0</v>
      </c>
      <c r="AD1083">
        <v>342.75</v>
      </c>
      <c r="AE1083">
        <v>400.75</v>
      </c>
      <c r="AF1083">
        <v>545</v>
      </c>
      <c r="AG1083" t="s">
        <v>2000</v>
      </c>
      <c r="AH1083" t="s">
        <v>65</v>
      </c>
      <c r="AI1083" t="s">
        <v>65</v>
      </c>
      <c r="AJ1083" t="s">
        <v>66</v>
      </c>
      <c r="AK1083" t="s">
        <v>66</v>
      </c>
      <c r="AL1083" t="s">
        <v>66</v>
      </c>
      <c r="AM1083" s="2" t="str">
        <f>HYPERLINK("https://transparencia.cidesi.mx/comprobantes/2021/CQ2100815 /C2FACTURAA24532.pdf")</f>
        <v>https://transparencia.cidesi.mx/comprobantes/2021/CQ2100815 /C2FACTURAA24532.pdf</v>
      </c>
      <c r="AN1083" t="str">
        <f>HYPERLINK("https://transparencia.cidesi.mx/comprobantes/2021/CQ2100815 /C2FACTURAA24532.pdf")</f>
        <v>https://transparencia.cidesi.mx/comprobantes/2021/CQ2100815 /C2FACTURAA24532.pdf</v>
      </c>
      <c r="AO1083" t="str">
        <f>HYPERLINK("https://transparencia.cidesi.mx/comprobantes/2021/CQ2100815 /C2FACTURAA24532.xml")</f>
        <v>https://transparencia.cidesi.mx/comprobantes/2021/CQ2100815 /C2FACTURAA24532.xml</v>
      </c>
      <c r="AP1083" t="s">
        <v>2031</v>
      </c>
      <c r="AQ1083" t="s">
        <v>2032</v>
      </c>
      <c r="AR1083" t="s">
        <v>2022</v>
      </c>
      <c r="AS1083" t="s">
        <v>2033</v>
      </c>
      <c r="AT1083" s="1">
        <v>44454</v>
      </c>
      <c r="AU1083" s="1">
        <v>44470</v>
      </c>
    </row>
    <row r="1084" spans="1:47" x14ac:dyDescent="0.3">
      <c r="A1084" t="s">
        <v>47</v>
      </c>
      <c r="B1084" t="s">
        <v>224</v>
      </c>
      <c r="C1084" t="s">
        <v>225</v>
      </c>
      <c r="D1084">
        <v>100009</v>
      </c>
      <c r="E1084" t="s">
        <v>1995</v>
      </c>
      <c r="F1084" t="s">
        <v>912</v>
      </c>
      <c r="G1084" t="s">
        <v>1996</v>
      </c>
      <c r="H1084" t="s">
        <v>2037</v>
      </c>
      <c r="I1084" t="s">
        <v>54</v>
      </c>
      <c r="J1084" t="s">
        <v>2038</v>
      </c>
      <c r="K1084" t="s">
        <v>56</v>
      </c>
      <c r="L1084">
        <v>0</v>
      </c>
      <c r="M1084" t="s">
        <v>73</v>
      </c>
      <c r="N1084">
        <v>0</v>
      </c>
      <c r="O1084" t="s">
        <v>58</v>
      </c>
      <c r="P1084" t="s">
        <v>59</v>
      </c>
      <c r="Q1084" t="s">
        <v>216</v>
      </c>
      <c r="R1084" t="s">
        <v>2038</v>
      </c>
      <c r="S1084" s="1">
        <v>44455</v>
      </c>
      <c r="T1084" s="1">
        <v>44455</v>
      </c>
      <c r="U1084">
        <v>37501</v>
      </c>
      <c r="V1084" t="s">
        <v>61</v>
      </c>
      <c r="W1084" t="s">
        <v>2039</v>
      </c>
      <c r="X1084" s="1">
        <v>44459</v>
      </c>
      <c r="Y1084" t="s">
        <v>63</v>
      </c>
      <c r="Z1084">
        <v>405.18</v>
      </c>
      <c r="AA1084">
        <v>10</v>
      </c>
      <c r="AB1084">
        <v>64.819999999999993</v>
      </c>
      <c r="AC1084">
        <v>47</v>
      </c>
      <c r="AD1084">
        <v>517</v>
      </c>
      <c r="AE1084">
        <v>517</v>
      </c>
      <c r="AF1084">
        <v>545</v>
      </c>
      <c r="AG1084" t="s">
        <v>2000</v>
      </c>
      <c r="AH1084" t="s">
        <v>65</v>
      </c>
      <c r="AI1084" t="s">
        <v>65</v>
      </c>
      <c r="AJ1084" t="s">
        <v>66</v>
      </c>
      <c r="AK1084" t="s">
        <v>66</v>
      </c>
      <c r="AL1084" t="s">
        <v>66</v>
      </c>
      <c r="AM1084" s="2" t="str">
        <f>HYPERLINK("https://transparencia.cidesi.mx/comprobantes/2021/CQ2100833 /C1C4CB7111-6A28-4E90-ABB0-7A25E0DB952C.pdf")</f>
        <v>https://transparencia.cidesi.mx/comprobantes/2021/CQ2100833 /C1C4CB7111-6A28-4E90-ABB0-7A25E0DB952C.pdf</v>
      </c>
      <c r="AN1084" t="str">
        <f>HYPERLINK("https://transparencia.cidesi.mx/comprobantes/2021/CQ2100833 /C1C4CB7111-6A28-4E90-ABB0-7A25E0DB952C.pdf")</f>
        <v>https://transparencia.cidesi.mx/comprobantes/2021/CQ2100833 /C1C4CB7111-6A28-4E90-ABB0-7A25E0DB952C.pdf</v>
      </c>
      <c r="AO1084" t="str">
        <f>HYPERLINK("https://transparencia.cidesi.mx/comprobantes/2021/CQ2100833 /C1C4CB7111-6A28-4E90-ABB0-7A25E0DB952C.xml")</f>
        <v>https://transparencia.cidesi.mx/comprobantes/2021/CQ2100833 /C1C4CB7111-6A28-4E90-ABB0-7A25E0DB952C.xml</v>
      </c>
      <c r="AP1084" t="s">
        <v>2020</v>
      </c>
      <c r="AQ1084" t="s">
        <v>2025</v>
      </c>
      <c r="AR1084" t="s">
        <v>2022</v>
      </c>
      <c r="AS1084" t="s">
        <v>2016</v>
      </c>
      <c r="AT1084" s="1">
        <v>44461</v>
      </c>
      <c r="AU1084" s="1">
        <v>44473</v>
      </c>
    </row>
    <row r="1085" spans="1:47" x14ac:dyDescent="0.3">
      <c r="A1085" t="s">
        <v>47</v>
      </c>
      <c r="B1085" t="s">
        <v>224</v>
      </c>
      <c r="C1085" t="s">
        <v>225</v>
      </c>
      <c r="D1085">
        <v>100009</v>
      </c>
      <c r="E1085" t="s">
        <v>1995</v>
      </c>
      <c r="F1085" t="s">
        <v>912</v>
      </c>
      <c r="G1085" t="s">
        <v>1996</v>
      </c>
      <c r="H1085" t="s">
        <v>2040</v>
      </c>
      <c r="I1085" t="s">
        <v>54</v>
      </c>
      <c r="J1085" t="s">
        <v>2041</v>
      </c>
      <c r="K1085" t="s">
        <v>56</v>
      </c>
      <c r="L1085">
        <v>0</v>
      </c>
      <c r="M1085" t="s">
        <v>73</v>
      </c>
      <c r="N1085">
        <v>0</v>
      </c>
      <c r="O1085" t="s">
        <v>58</v>
      </c>
      <c r="P1085" t="s">
        <v>59</v>
      </c>
      <c r="Q1085" t="s">
        <v>1284</v>
      </c>
      <c r="R1085" t="s">
        <v>2041</v>
      </c>
      <c r="S1085" s="1">
        <v>44456</v>
      </c>
      <c r="T1085" s="1">
        <v>44456</v>
      </c>
      <c r="U1085">
        <v>37501</v>
      </c>
      <c r="V1085" t="s">
        <v>61</v>
      </c>
      <c r="W1085" t="s">
        <v>2042</v>
      </c>
      <c r="X1085" s="1">
        <v>44459</v>
      </c>
      <c r="Y1085" t="s">
        <v>63</v>
      </c>
      <c r="Z1085">
        <v>406.9</v>
      </c>
      <c r="AA1085">
        <v>16</v>
      </c>
      <c r="AB1085">
        <v>65.099999999999994</v>
      </c>
      <c r="AC1085">
        <v>0</v>
      </c>
      <c r="AD1085">
        <v>472</v>
      </c>
      <c r="AE1085">
        <v>472</v>
      </c>
      <c r="AF1085">
        <v>545</v>
      </c>
      <c r="AG1085" t="s">
        <v>2000</v>
      </c>
      <c r="AH1085" t="s">
        <v>65</v>
      </c>
      <c r="AI1085" t="s">
        <v>65</v>
      </c>
      <c r="AJ1085" t="s">
        <v>66</v>
      </c>
      <c r="AK1085" t="s">
        <v>66</v>
      </c>
      <c r="AL1085" t="s">
        <v>66</v>
      </c>
      <c r="AM1085" s="2" t="str">
        <f>HYPERLINK("https://transparencia.cidesi.mx/comprobantes/2021/CQ2100834 /C1CID840309UG7FF0000006408.pdf")</f>
        <v>https://transparencia.cidesi.mx/comprobantes/2021/CQ2100834 /C1CID840309UG7FF0000006408.pdf</v>
      </c>
      <c r="AN1085" t="str">
        <f>HYPERLINK("https://transparencia.cidesi.mx/comprobantes/2021/CQ2100834 /C1CID840309UG7FF0000006408.pdf")</f>
        <v>https://transparencia.cidesi.mx/comprobantes/2021/CQ2100834 /C1CID840309UG7FF0000006408.pdf</v>
      </c>
      <c r="AO1085" t="str">
        <f>HYPERLINK("https://transparencia.cidesi.mx/comprobantes/2021/CQ2100834 /C1CID840309UG7FF0000006408.xml")</f>
        <v>https://transparencia.cidesi.mx/comprobantes/2021/CQ2100834 /C1CID840309UG7FF0000006408.xml</v>
      </c>
      <c r="AP1085" t="s">
        <v>2031</v>
      </c>
      <c r="AQ1085" t="s">
        <v>2032</v>
      </c>
      <c r="AR1085" t="s">
        <v>2022</v>
      </c>
      <c r="AS1085" t="s">
        <v>2033</v>
      </c>
      <c r="AT1085" s="1">
        <v>44461</v>
      </c>
      <c r="AU1085" s="1">
        <v>44473</v>
      </c>
    </row>
    <row r="1086" spans="1:47" x14ac:dyDescent="0.3">
      <c r="A1086" t="s">
        <v>47</v>
      </c>
      <c r="B1086" t="s">
        <v>224</v>
      </c>
      <c r="C1086" t="s">
        <v>225</v>
      </c>
      <c r="D1086">
        <v>100009</v>
      </c>
      <c r="E1086" t="s">
        <v>1995</v>
      </c>
      <c r="F1086" t="s">
        <v>912</v>
      </c>
      <c r="G1086" t="s">
        <v>1996</v>
      </c>
      <c r="H1086" t="s">
        <v>2043</v>
      </c>
      <c r="I1086" t="s">
        <v>54</v>
      </c>
      <c r="J1086" t="s">
        <v>2044</v>
      </c>
      <c r="K1086" t="s">
        <v>56</v>
      </c>
      <c r="L1086">
        <v>0</v>
      </c>
      <c r="M1086" t="s">
        <v>73</v>
      </c>
      <c r="N1086">
        <v>0</v>
      </c>
      <c r="O1086" t="s">
        <v>58</v>
      </c>
      <c r="P1086" t="s">
        <v>59</v>
      </c>
      <c r="Q1086" t="s">
        <v>1284</v>
      </c>
      <c r="R1086" t="s">
        <v>2044</v>
      </c>
      <c r="S1086" s="1">
        <v>44459</v>
      </c>
      <c r="T1086" s="1">
        <v>44459</v>
      </c>
      <c r="U1086">
        <v>37501</v>
      </c>
      <c r="V1086" t="s">
        <v>61</v>
      </c>
      <c r="W1086" t="s">
        <v>2045</v>
      </c>
      <c r="X1086" s="1">
        <v>44459</v>
      </c>
      <c r="Y1086" t="s">
        <v>63</v>
      </c>
      <c r="Z1086">
        <v>63</v>
      </c>
      <c r="AA1086">
        <v>0</v>
      </c>
      <c r="AB1086">
        <v>0</v>
      </c>
      <c r="AC1086">
        <v>0</v>
      </c>
      <c r="AD1086">
        <v>63</v>
      </c>
      <c r="AE1086">
        <v>495</v>
      </c>
      <c r="AF1086">
        <v>545</v>
      </c>
      <c r="AG1086" t="s">
        <v>2000</v>
      </c>
      <c r="AH1086" t="s">
        <v>65</v>
      </c>
      <c r="AI1086" t="s">
        <v>65</v>
      </c>
      <c r="AJ1086" t="s">
        <v>66</v>
      </c>
      <c r="AK1086" t="s">
        <v>66</v>
      </c>
      <c r="AL1086" t="s">
        <v>66</v>
      </c>
      <c r="AM1086" s="2" t="str">
        <f>HYPERLINK("https://transparencia.cidesi.mx/comprobantes/2021/CQ2100835 /C1FACTURA_1632175653330_345290247.pdf")</f>
        <v>https://transparencia.cidesi.mx/comprobantes/2021/CQ2100835 /C1FACTURA_1632175653330_345290247.pdf</v>
      </c>
      <c r="AN1086" t="str">
        <f>HYPERLINK("https://transparencia.cidesi.mx/comprobantes/2021/CQ2100835 /C1FACTURA_1632175653330_345290247.pdf")</f>
        <v>https://transparencia.cidesi.mx/comprobantes/2021/CQ2100835 /C1FACTURA_1632175653330_345290247.pdf</v>
      </c>
      <c r="AO1086" t="str">
        <f>HYPERLINK("https://transparencia.cidesi.mx/comprobantes/2021/CQ2100835 /C1FACTURA_1632175654740_345290247.xml")</f>
        <v>https://transparencia.cidesi.mx/comprobantes/2021/CQ2100835 /C1FACTURA_1632175654740_345290247.xml</v>
      </c>
      <c r="AP1086" t="s">
        <v>2031</v>
      </c>
      <c r="AQ1086" t="s">
        <v>2046</v>
      </c>
      <c r="AR1086" t="s">
        <v>2022</v>
      </c>
      <c r="AS1086" t="s">
        <v>2047</v>
      </c>
      <c r="AT1086" s="1">
        <v>44461</v>
      </c>
      <c r="AU1086" s="1">
        <v>44473</v>
      </c>
    </row>
    <row r="1087" spans="1:47" x14ac:dyDescent="0.3">
      <c r="A1087" t="s">
        <v>47</v>
      </c>
      <c r="B1087" t="s">
        <v>224</v>
      </c>
      <c r="C1087" t="s">
        <v>225</v>
      </c>
      <c r="D1087">
        <v>100009</v>
      </c>
      <c r="E1087" t="s">
        <v>1995</v>
      </c>
      <c r="F1087" t="s">
        <v>912</v>
      </c>
      <c r="G1087" t="s">
        <v>1996</v>
      </c>
      <c r="H1087" t="s">
        <v>2043</v>
      </c>
      <c r="I1087" t="s">
        <v>54</v>
      </c>
      <c r="J1087" t="s">
        <v>2044</v>
      </c>
      <c r="K1087" t="s">
        <v>56</v>
      </c>
      <c r="L1087">
        <v>0</v>
      </c>
      <c r="M1087" t="s">
        <v>73</v>
      </c>
      <c r="N1087">
        <v>0</v>
      </c>
      <c r="O1087" t="s">
        <v>58</v>
      </c>
      <c r="P1087" t="s">
        <v>59</v>
      </c>
      <c r="Q1087" t="s">
        <v>1284</v>
      </c>
      <c r="R1087" t="s">
        <v>2044</v>
      </c>
      <c r="S1087" s="1">
        <v>44459</v>
      </c>
      <c r="T1087" s="1">
        <v>44459</v>
      </c>
      <c r="U1087">
        <v>37501</v>
      </c>
      <c r="V1087" t="s">
        <v>61</v>
      </c>
      <c r="W1087" t="s">
        <v>2045</v>
      </c>
      <c r="X1087" s="1">
        <v>44459</v>
      </c>
      <c r="Y1087" t="s">
        <v>63</v>
      </c>
      <c r="Z1087">
        <v>338.79</v>
      </c>
      <c r="AA1087">
        <v>16</v>
      </c>
      <c r="AB1087">
        <v>54.21</v>
      </c>
      <c r="AC1087">
        <v>39</v>
      </c>
      <c r="AD1087">
        <v>432</v>
      </c>
      <c r="AE1087">
        <v>495</v>
      </c>
      <c r="AF1087">
        <v>545</v>
      </c>
      <c r="AG1087" t="s">
        <v>2000</v>
      </c>
      <c r="AH1087" t="s">
        <v>65</v>
      </c>
      <c r="AI1087" t="s">
        <v>65</v>
      </c>
      <c r="AJ1087" t="s">
        <v>66</v>
      </c>
      <c r="AK1087" t="s">
        <v>66</v>
      </c>
      <c r="AL1087" t="s">
        <v>66</v>
      </c>
      <c r="AM1087" s="2" t="str">
        <f>HYPERLINK("https://transparencia.cidesi.mx/comprobantes/2021/CQ2100835 /C2GEX0108298K9FB0000091510.pdf")</f>
        <v>https://transparencia.cidesi.mx/comprobantes/2021/CQ2100835 /C2GEX0108298K9FB0000091510.pdf</v>
      </c>
      <c r="AN1087" t="str">
        <f>HYPERLINK("https://transparencia.cidesi.mx/comprobantes/2021/CQ2100835 /C2GEX0108298K9FB0000091510.pdf")</f>
        <v>https://transparencia.cidesi.mx/comprobantes/2021/CQ2100835 /C2GEX0108298K9FB0000091510.pdf</v>
      </c>
      <c r="AO1087" t="str">
        <f>HYPERLINK("https://transparencia.cidesi.mx/comprobantes/2021/CQ2100835 /C2GEX0108298K9FB0000091510.xml")</f>
        <v>https://transparencia.cidesi.mx/comprobantes/2021/CQ2100835 /C2GEX0108298K9FB0000091510.xml</v>
      </c>
      <c r="AP1087" t="s">
        <v>2031</v>
      </c>
      <c r="AQ1087" t="s">
        <v>2046</v>
      </c>
      <c r="AR1087" t="s">
        <v>2022</v>
      </c>
      <c r="AS1087" t="s">
        <v>2047</v>
      </c>
      <c r="AT1087" s="1">
        <v>44461</v>
      </c>
      <c r="AU1087" s="1">
        <v>44473</v>
      </c>
    </row>
    <row r="1088" spans="1:47" x14ac:dyDescent="0.3">
      <c r="A1088" t="s">
        <v>47</v>
      </c>
      <c r="B1088" t="s">
        <v>224</v>
      </c>
      <c r="C1088" t="s">
        <v>225</v>
      </c>
      <c r="D1088">
        <v>100009</v>
      </c>
      <c r="E1088" t="s">
        <v>1995</v>
      </c>
      <c r="F1088" t="s">
        <v>912</v>
      </c>
      <c r="G1088" t="s">
        <v>1996</v>
      </c>
      <c r="H1088" t="s">
        <v>2048</v>
      </c>
      <c r="I1088" t="s">
        <v>54</v>
      </c>
      <c r="J1088" t="s">
        <v>2035</v>
      </c>
      <c r="K1088" t="s">
        <v>56</v>
      </c>
      <c r="L1088">
        <v>0</v>
      </c>
      <c r="M1088" t="s">
        <v>73</v>
      </c>
      <c r="N1088">
        <v>0</v>
      </c>
      <c r="O1088" t="s">
        <v>58</v>
      </c>
      <c r="P1088" t="s">
        <v>59</v>
      </c>
      <c r="Q1088" t="s">
        <v>1284</v>
      </c>
      <c r="R1088" t="s">
        <v>2035</v>
      </c>
      <c r="S1088" s="1">
        <v>44460</v>
      </c>
      <c r="T1088" s="1">
        <v>44460</v>
      </c>
      <c r="U1088">
        <v>37501</v>
      </c>
      <c r="V1088" t="s">
        <v>61</v>
      </c>
      <c r="W1088" t="s">
        <v>2049</v>
      </c>
      <c r="X1088" s="1">
        <v>44461</v>
      </c>
      <c r="Y1088" t="s">
        <v>63</v>
      </c>
      <c r="Z1088">
        <v>434.47</v>
      </c>
      <c r="AA1088">
        <v>16</v>
      </c>
      <c r="AB1088">
        <v>69.52</v>
      </c>
      <c r="AC1088">
        <v>0.01</v>
      </c>
      <c r="AD1088">
        <v>504</v>
      </c>
      <c r="AE1088">
        <v>504</v>
      </c>
      <c r="AF1088">
        <v>545</v>
      </c>
      <c r="AG1088" t="s">
        <v>2000</v>
      </c>
      <c r="AH1088" t="s">
        <v>65</v>
      </c>
      <c r="AI1088" t="s">
        <v>65</v>
      </c>
      <c r="AJ1088" t="s">
        <v>66</v>
      </c>
      <c r="AK1088" t="s">
        <v>66</v>
      </c>
      <c r="AL1088" t="s">
        <v>66</v>
      </c>
      <c r="AM1088" s="2" t="str">
        <f>HYPERLINK("https://transparencia.cidesi.mx/comprobantes/2021/CQ2100863 /C1RUFM731208CB3FFM3981.pdf")</f>
        <v>https://transparencia.cidesi.mx/comprobantes/2021/CQ2100863 /C1RUFM731208CB3FFM3981.pdf</v>
      </c>
      <c r="AN1088" t="str">
        <f>HYPERLINK("https://transparencia.cidesi.mx/comprobantes/2021/CQ2100863 /C1RUFM731208CB3FFM3981.pdf")</f>
        <v>https://transparencia.cidesi.mx/comprobantes/2021/CQ2100863 /C1RUFM731208CB3FFM3981.pdf</v>
      </c>
      <c r="AO1088" t="str">
        <f>HYPERLINK("https://transparencia.cidesi.mx/comprobantes/2021/CQ2100863 /C1RUFM731208CB3FFM3981.xml")</f>
        <v>https://transparencia.cidesi.mx/comprobantes/2021/CQ2100863 /C1RUFM731208CB3FFM3981.xml</v>
      </c>
      <c r="AP1088" t="s">
        <v>2031</v>
      </c>
      <c r="AQ1088" t="s">
        <v>2046</v>
      </c>
      <c r="AR1088" t="s">
        <v>2022</v>
      </c>
      <c r="AS1088" t="s">
        <v>2050</v>
      </c>
      <c r="AT1088" s="1">
        <v>44466</v>
      </c>
      <c r="AU1088" s="1">
        <v>44470</v>
      </c>
    </row>
    <row r="1089" spans="1:47" x14ac:dyDescent="0.3">
      <c r="A1089" t="s">
        <v>47</v>
      </c>
      <c r="B1089" t="s">
        <v>224</v>
      </c>
      <c r="C1089" t="s">
        <v>225</v>
      </c>
      <c r="D1089">
        <v>100009</v>
      </c>
      <c r="E1089" t="s">
        <v>1995</v>
      </c>
      <c r="F1089" t="s">
        <v>912</v>
      </c>
      <c r="G1089" t="s">
        <v>1996</v>
      </c>
      <c r="H1089" t="s">
        <v>2051</v>
      </c>
      <c r="I1089" t="s">
        <v>54</v>
      </c>
      <c r="J1089" t="s">
        <v>2035</v>
      </c>
      <c r="K1089" t="s">
        <v>56</v>
      </c>
      <c r="L1089">
        <v>0</v>
      </c>
      <c r="M1089" t="s">
        <v>73</v>
      </c>
      <c r="N1089">
        <v>0</v>
      </c>
      <c r="O1089" t="s">
        <v>58</v>
      </c>
      <c r="P1089" t="s">
        <v>59</v>
      </c>
      <c r="Q1089" t="s">
        <v>1284</v>
      </c>
      <c r="R1089" t="s">
        <v>2035</v>
      </c>
      <c r="S1089" s="1">
        <v>44461</v>
      </c>
      <c r="T1089" s="1">
        <v>44461</v>
      </c>
      <c r="U1089">
        <v>37501</v>
      </c>
      <c r="V1089" t="s">
        <v>61</v>
      </c>
      <c r="W1089" t="s">
        <v>2052</v>
      </c>
      <c r="X1089" s="1">
        <v>44462</v>
      </c>
      <c r="Y1089" t="s">
        <v>63</v>
      </c>
      <c r="Z1089">
        <v>56</v>
      </c>
      <c r="AA1089">
        <v>0</v>
      </c>
      <c r="AB1089">
        <v>0</v>
      </c>
      <c r="AC1089">
        <v>0</v>
      </c>
      <c r="AD1089">
        <v>56</v>
      </c>
      <c r="AE1089">
        <v>516</v>
      </c>
      <c r="AF1089">
        <v>545</v>
      </c>
      <c r="AG1089" t="s">
        <v>2000</v>
      </c>
      <c r="AH1089" t="s">
        <v>65</v>
      </c>
      <c r="AI1089" t="s">
        <v>65</v>
      </c>
      <c r="AJ1089" t="s">
        <v>66</v>
      </c>
      <c r="AK1089" t="s">
        <v>66</v>
      </c>
      <c r="AL1089" t="s">
        <v>66</v>
      </c>
      <c r="AM1089" s="2" t="str">
        <f>HYPERLINK("https://transparencia.cidesi.mx/comprobantes/2021/CQ2100871 /C1FACTURA_1632356147129_345566337.pdf")</f>
        <v>https://transparencia.cidesi.mx/comprobantes/2021/CQ2100871 /C1FACTURA_1632356147129_345566337.pdf</v>
      </c>
      <c r="AN1089" t="str">
        <f>HYPERLINK("https://transparencia.cidesi.mx/comprobantes/2021/CQ2100871 /C1FACTURA_1632356147129_345566337.pdf")</f>
        <v>https://transparencia.cidesi.mx/comprobantes/2021/CQ2100871 /C1FACTURA_1632356147129_345566337.pdf</v>
      </c>
      <c r="AO1089" t="str">
        <f>HYPERLINK("https://transparencia.cidesi.mx/comprobantes/2021/CQ2100871 /C1FACTURA_1632356148488_345566337.xml")</f>
        <v>https://transparencia.cidesi.mx/comprobantes/2021/CQ2100871 /C1FACTURA_1632356148488_345566337.xml</v>
      </c>
      <c r="AP1089" t="s">
        <v>2031</v>
      </c>
      <c r="AQ1089" t="s">
        <v>2046</v>
      </c>
      <c r="AR1089" t="s">
        <v>2022</v>
      </c>
      <c r="AS1089" t="s">
        <v>2033</v>
      </c>
      <c r="AT1089" s="1">
        <v>44466</v>
      </c>
      <c r="AU1089" s="1">
        <v>44470</v>
      </c>
    </row>
    <row r="1090" spans="1:47" x14ac:dyDescent="0.3">
      <c r="A1090" t="s">
        <v>47</v>
      </c>
      <c r="B1090" t="s">
        <v>224</v>
      </c>
      <c r="C1090" t="s">
        <v>225</v>
      </c>
      <c r="D1090">
        <v>100009</v>
      </c>
      <c r="E1090" t="s">
        <v>1995</v>
      </c>
      <c r="F1090" t="s">
        <v>912</v>
      </c>
      <c r="G1090" t="s">
        <v>1996</v>
      </c>
      <c r="H1090" t="s">
        <v>2051</v>
      </c>
      <c r="I1090" t="s">
        <v>54</v>
      </c>
      <c r="J1090" t="s">
        <v>2035</v>
      </c>
      <c r="K1090" t="s">
        <v>56</v>
      </c>
      <c r="L1090">
        <v>0</v>
      </c>
      <c r="M1090" t="s">
        <v>73</v>
      </c>
      <c r="N1090">
        <v>0</v>
      </c>
      <c r="O1090" t="s">
        <v>58</v>
      </c>
      <c r="P1090" t="s">
        <v>59</v>
      </c>
      <c r="Q1090" t="s">
        <v>1284</v>
      </c>
      <c r="R1090" t="s">
        <v>2035</v>
      </c>
      <c r="S1090" s="1">
        <v>44461</v>
      </c>
      <c r="T1090" s="1">
        <v>44461</v>
      </c>
      <c r="U1090">
        <v>37501</v>
      </c>
      <c r="V1090" t="s">
        <v>61</v>
      </c>
      <c r="W1090" t="s">
        <v>2052</v>
      </c>
      <c r="X1090" s="1">
        <v>44462</v>
      </c>
      <c r="Y1090" t="s">
        <v>63</v>
      </c>
      <c r="Z1090">
        <v>396.55</v>
      </c>
      <c r="AA1090">
        <v>16</v>
      </c>
      <c r="AB1090">
        <v>63.45</v>
      </c>
      <c r="AC1090">
        <v>0</v>
      </c>
      <c r="AD1090">
        <v>460</v>
      </c>
      <c r="AE1090">
        <v>516</v>
      </c>
      <c r="AF1090">
        <v>545</v>
      </c>
      <c r="AG1090" t="s">
        <v>2000</v>
      </c>
      <c r="AH1090" t="s">
        <v>65</v>
      </c>
      <c r="AI1090" t="s">
        <v>65</v>
      </c>
      <c r="AJ1090" t="s">
        <v>66</v>
      </c>
      <c r="AK1090" t="s">
        <v>66</v>
      </c>
      <c r="AL1090" t="s">
        <v>66</v>
      </c>
      <c r="AM1090" s="2" t="str">
        <f>HYPERLINK("https://transparencia.cidesi.mx/comprobantes/2021/CQ2100871 /C2FA-RN026118-AULG430317679.xml")</f>
        <v>https://transparencia.cidesi.mx/comprobantes/2021/CQ2100871 /C2FA-RN026118-AULG430317679.xml</v>
      </c>
      <c r="AN1090" t="str">
        <f>HYPERLINK("https://transparencia.cidesi.mx/comprobantes/2021/CQ2100871 /C2FA-RN026118-AULG430317679.xml")</f>
        <v>https://transparencia.cidesi.mx/comprobantes/2021/CQ2100871 /C2FA-RN026118-AULG430317679.xml</v>
      </c>
      <c r="AO1090" t="str">
        <f>HYPERLINK("https://transparencia.cidesi.mx/comprobantes/2021/CQ2100871 /C2FA-RN026118-AULG430317679.xml")</f>
        <v>https://transparencia.cidesi.mx/comprobantes/2021/CQ2100871 /C2FA-RN026118-AULG430317679.xml</v>
      </c>
      <c r="AP1090" t="s">
        <v>2031</v>
      </c>
      <c r="AQ1090" t="s">
        <v>2046</v>
      </c>
      <c r="AR1090" t="s">
        <v>2022</v>
      </c>
      <c r="AS1090" t="s">
        <v>2033</v>
      </c>
      <c r="AT1090" s="1">
        <v>44466</v>
      </c>
      <c r="AU1090" s="1">
        <v>44470</v>
      </c>
    </row>
    <row r="1091" spans="1:47" x14ac:dyDescent="0.3">
      <c r="A1091" t="s">
        <v>47</v>
      </c>
      <c r="B1091" t="s">
        <v>224</v>
      </c>
      <c r="C1091" t="s">
        <v>225</v>
      </c>
      <c r="D1091">
        <v>100009</v>
      </c>
      <c r="E1091" t="s">
        <v>1995</v>
      </c>
      <c r="F1091" t="s">
        <v>912</v>
      </c>
      <c r="G1091" t="s">
        <v>1996</v>
      </c>
      <c r="H1091" t="s">
        <v>2053</v>
      </c>
      <c r="I1091" t="s">
        <v>54</v>
      </c>
      <c r="J1091" t="s">
        <v>2044</v>
      </c>
      <c r="K1091" t="s">
        <v>56</v>
      </c>
      <c r="L1091">
        <v>0</v>
      </c>
      <c r="M1091" t="s">
        <v>73</v>
      </c>
      <c r="N1091">
        <v>0</v>
      </c>
      <c r="O1091" t="s">
        <v>58</v>
      </c>
      <c r="P1091" t="s">
        <v>59</v>
      </c>
      <c r="Q1091" t="s">
        <v>1284</v>
      </c>
      <c r="R1091" t="s">
        <v>2044</v>
      </c>
      <c r="S1091" s="1">
        <v>44462</v>
      </c>
      <c r="T1091" s="1">
        <v>44462</v>
      </c>
      <c r="U1091">
        <v>37501</v>
      </c>
      <c r="V1091" t="s">
        <v>61</v>
      </c>
      <c r="W1091" t="s">
        <v>2054</v>
      </c>
      <c r="X1091" s="1">
        <v>44466</v>
      </c>
      <c r="Y1091" t="s">
        <v>63</v>
      </c>
      <c r="Z1091">
        <v>29</v>
      </c>
      <c r="AA1091">
        <v>0</v>
      </c>
      <c r="AB1091">
        <v>0</v>
      </c>
      <c r="AC1091">
        <v>0</v>
      </c>
      <c r="AD1091">
        <v>29</v>
      </c>
      <c r="AE1091">
        <v>529</v>
      </c>
      <c r="AF1091">
        <v>545</v>
      </c>
      <c r="AG1091" t="s">
        <v>2000</v>
      </c>
      <c r="AH1091" t="s">
        <v>65</v>
      </c>
      <c r="AI1091" t="s">
        <v>65</v>
      </c>
      <c r="AJ1091" t="s">
        <v>66</v>
      </c>
      <c r="AK1091" t="s">
        <v>66</v>
      </c>
      <c r="AL1091" t="s">
        <v>66</v>
      </c>
      <c r="AM1091" s="2" t="str">
        <f>HYPERLINK("https://transparencia.cidesi.mx/comprobantes/2021/CQ2100888 /C1FACTURA_1632748726389_346060013.pdf")</f>
        <v>https://transparencia.cidesi.mx/comprobantes/2021/CQ2100888 /C1FACTURA_1632748726389_346060013.pdf</v>
      </c>
      <c r="AN1091" t="str">
        <f>HYPERLINK("https://transparencia.cidesi.mx/comprobantes/2021/CQ2100888 /C1FACTURA_1632748726389_346060013.pdf")</f>
        <v>https://transparencia.cidesi.mx/comprobantes/2021/CQ2100888 /C1FACTURA_1632748726389_346060013.pdf</v>
      </c>
      <c r="AO1091" t="str">
        <f>HYPERLINK("https://transparencia.cidesi.mx/comprobantes/2021/CQ2100888 /C1FACTURA_1632748727479_346060013.xml")</f>
        <v>https://transparencia.cidesi.mx/comprobantes/2021/CQ2100888 /C1FACTURA_1632748727479_346060013.xml</v>
      </c>
      <c r="AP1091" t="s">
        <v>2031</v>
      </c>
      <c r="AQ1091" t="s">
        <v>2046</v>
      </c>
      <c r="AR1091" t="s">
        <v>2022</v>
      </c>
      <c r="AS1091" t="s">
        <v>2047</v>
      </c>
      <c r="AT1091" s="1">
        <v>44466</v>
      </c>
      <c r="AU1091" s="1">
        <v>44470</v>
      </c>
    </row>
    <row r="1092" spans="1:47" x14ac:dyDescent="0.3">
      <c r="A1092" t="s">
        <v>47</v>
      </c>
      <c r="B1092" t="s">
        <v>224</v>
      </c>
      <c r="C1092" t="s">
        <v>225</v>
      </c>
      <c r="D1092">
        <v>100009</v>
      </c>
      <c r="E1092" t="s">
        <v>1995</v>
      </c>
      <c r="F1092" t="s">
        <v>912</v>
      </c>
      <c r="G1092" t="s">
        <v>1996</v>
      </c>
      <c r="H1092" t="s">
        <v>2053</v>
      </c>
      <c r="I1092" t="s">
        <v>54</v>
      </c>
      <c r="J1092" t="s">
        <v>2044</v>
      </c>
      <c r="K1092" t="s">
        <v>56</v>
      </c>
      <c r="L1092">
        <v>0</v>
      </c>
      <c r="M1092" t="s">
        <v>73</v>
      </c>
      <c r="N1092">
        <v>0</v>
      </c>
      <c r="O1092" t="s">
        <v>58</v>
      </c>
      <c r="P1092" t="s">
        <v>59</v>
      </c>
      <c r="Q1092" t="s">
        <v>1284</v>
      </c>
      <c r="R1092" t="s">
        <v>2044</v>
      </c>
      <c r="S1092" s="1">
        <v>44462</v>
      </c>
      <c r="T1092" s="1">
        <v>44462</v>
      </c>
      <c r="U1092">
        <v>37501</v>
      </c>
      <c r="V1092" t="s">
        <v>61</v>
      </c>
      <c r="W1092" t="s">
        <v>2054</v>
      </c>
      <c r="X1092" s="1">
        <v>44466</v>
      </c>
      <c r="Y1092" t="s">
        <v>63</v>
      </c>
      <c r="Z1092">
        <v>362.93</v>
      </c>
      <c r="AA1092">
        <v>16</v>
      </c>
      <c r="AB1092">
        <v>58.07</v>
      </c>
      <c r="AC1092">
        <v>42</v>
      </c>
      <c r="AD1092">
        <v>463</v>
      </c>
      <c r="AE1092">
        <v>529</v>
      </c>
      <c r="AF1092">
        <v>545</v>
      </c>
      <c r="AG1092" t="s">
        <v>2000</v>
      </c>
      <c r="AH1092" t="s">
        <v>65</v>
      </c>
      <c r="AI1092" t="s">
        <v>65</v>
      </c>
      <c r="AJ1092" t="s">
        <v>66</v>
      </c>
      <c r="AK1092" t="s">
        <v>66</v>
      </c>
      <c r="AL1092" t="s">
        <v>66</v>
      </c>
      <c r="AM1092" s="2" t="str">
        <f>HYPERLINK("https://transparencia.cidesi.mx/comprobantes/2021/CQ2100888 /C2GEX0108298K9FB0000091615.pdf")</f>
        <v>https://transparencia.cidesi.mx/comprobantes/2021/CQ2100888 /C2GEX0108298K9FB0000091615.pdf</v>
      </c>
      <c r="AN1092" t="str">
        <f>HYPERLINK("https://transparencia.cidesi.mx/comprobantes/2021/CQ2100888 /C2GEX0108298K9FB0000091615.pdf")</f>
        <v>https://transparencia.cidesi.mx/comprobantes/2021/CQ2100888 /C2GEX0108298K9FB0000091615.pdf</v>
      </c>
      <c r="AO1092" t="str">
        <f>HYPERLINK("https://transparencia.cidesi.mx/comprobantes/2021/CQ2100888 /C2GEX0108298K9FB0000091615.xml")</f>
        <v>https://transparencia.cidesi.mx/comprobantes/2021/CQ2100888 /C2GEX0108298K9FB0000091615.xml</v>
      </c>
      <c r="AP1092" t="s">
        <v>2031</v>
      </c>
      <c r="AQ1092" t="s">
        <v>2046</v>
      </c>
      <c r="AR1092" t="s">
        <v>2022</v>
      </c>
      <c r="AS1092" t="s">
        <v>2047</v>
      </c>
      <c r="AT1092" s="1">
        <v>44466</v>
      </c>
      <c r="AU1092" s="1">
        <v>44470</v>
      </c>
    </row>
    <row r="1093" spans="1:47" x14ac:dyDescent="0.3">
      <c r="A1093" t="s">
        <v>47</v>
      </c>
      <c r="B1093" t="s">
        <v>224</v>
      </c>
      <c r="C1093" t="s">
        <v>225</v>
      </c>
      <c r="D1093">
        <v>100009</v>
      </c>
      <c r="E1093" t="s">
        <v>1995</v>
      </c>
      <c r="F1093" t="s">
        <v>912</v>
      </c>
      <c r="G1093" t="s">
        <v>1996</v>
      </c>
      <c r="H1093" t="s">
        <v>2053</v>
      </c>
      <c r="I1093" t="s">
        <v>54</v>
      </c>
      <c r="J1093" t="s">
        <v>2044</v>
      </c>
      <c r="K1093" t="s">
        <v>56</v>
      </c>
      <c r="L1093">
        <v>0</v>
      </c>
      <c r="M1093" t="s">
        <v>73</v>
      </c>
      <c r="N1093">
        <v>0</v>
      </c>
      <c r="O1093" t="s">
        <v>58</v>
      </c>
      <c r="P1093" t="s">
        <v>59</v>
      </c>
      <c r="Q1093" t="s">
        <v>1284</v>
      </c>
      <c r="R1093" t="s">
        <v>2044</v>
      </c>
      <c r="S1093" s="1">
        <v>44462</v>
      </c>
      <c r="T1093" s="1">
        <v>44462</v>
      </c>
      <c r="U1093">
        <v>37501</v>
      </c>
      <c r="V1093" t="s">
        <v>61</v>
      </c>
      <c r="W1093" t="s">
        <v>2054</v>
      </c>
      <c r="X1093" s="1">
        <v>44466</v>
      </c>
      <c r="Y1093" t="s">
        <v>63</v>
      </c>
      <c r="Z1093">
        <v>37</v>
      </c>
      <c r="AA1093">
        <v>0</v>
      </c>
      <c r="AB1093">
        <v>0</v>
      </c>
      <c r="AC1093">
        <v>0</v>
      </c>
      <c r="AD1093">
        <v>37</v>
      </c>
      <c r="AE1093">
        <v>529</v>
      </c>
      <c r="AF1093">
        <v>545</v>
      </c>
      <c r="AG1093" t="s">
        <v>2000</v>
      </c>
      <c r="AH1093" t="s">
        <v>65</v>
      </c>
      <c r="AI1093" t="s">
        <v>65</v>
      </c>
      <c r="AJ1093" t="s">
        <v>66</v>
      </c>
      <c r="AK1093" t="s">
        <v>66</v>
      </c>
      <c r="AL1093" t="s">
        <v>66</v>
      </c>
      <c r="AM1093" s="2" t="str">
        <f>HYPERLINK("https://transparencia.cidesi.mx/comprobantes/2021/CQ2100888 /C3FACTURA_1632431663085_345679759.pdf")</f>
        <v>https://transparencia.cidesi.mx/comprobantes/2021/CQ2100888 /C3FACTURA_1632431663085_345679759.pdf</v>
      </c>
      <c r="AN1093" t="str">
        <f>HYPERLINK("https://transparencia.cidesi.mx/comprobantes/2021/CQ2100888 /C3FACTURA_1632431663085_345679759.pdf")</f>
        <v>https://transparencia.cidesi.mx/comprobantes/2021/CQ2100888 /C3FACTURA_1632431663085_345679759.pdf</v>
      </c>
      <c r="AO1093" t="str">
        <f>HYPERLINK("https://transparencia.cidesi.mx/comprobantes/2021/CQ2100888 /C3FACTURA_1632431664795_345679759.xml")</f>
        <v>https://transparencia.cidesi.mx/comprobantes/2021/CQ2100888 /C3FACTURA_1632431664795_345679759.xml</v>
      </c>
      <c r="AP1093" t="s">
        <v>2031</v>
      </c>
      <c r="AQ1093" t="s">
        <v>2046</v>
      </c>
      <c r="AR1093" t="s">
        <v>2022</v>
      </c>
      <c r="AS1093" t="s">
        <v>2047</v>
      </c>
      <c r="AT1093" s="1">
        <v>44466</v>
      </c>
      <c r="AU1093" s="1">
        <v>44470</v>
      </c>
    </row>
    <row r="1094" spans="1:47" x14ac:dyDescent="0.3">
      <c r="A1094" t="s">
        <v>47</v>
      </c>
      <c r="B1094" t="s">
        <v>224</v>
      </c>
      <c r="C1094" t="s">
        <v>225</v>
      </c>
      <c r="D1094">
        <v>100009</v>
      </c>
      <c r="E1094" t="s">
        <v>1995</v>
      </c>
      <c r="F1094" t="s">
        <v>912</v>
      </c>
      <c r="G1094" t="s">
        <v>1996</v>
      </c>
      <c r="H1094" t="s">
        <v>2055</v>
      </c>
      <c r="I1094" t="s">
        <v>54</v>
      </c>
      <c r="J1094" t="s">
        <v>2056</v>
      </c>
      <c r="K1094" t="s">
        <v>56</v>
      </c>
      <c r="L1094">
        <v>0</v>
      </c>
      <c r="M1094" t="s">
        <v>73</v>
      </c>
      <c r="N1094">
        <v>0</v>
      </c>
      <c r="O1094" t="s">
        <v>58</v>
      </c>
      <c r="P1094" t="s">
        <v>59</v>
      </c>
      <c r="Q1094" t="s">
        <v>1284</v>
      </c>
      <c r="R1094" t="s">
        <v>2056</v>
      </c>
      <c r="S1094" s="1">
        <v>44463</v>
      </c>
      <c r="T1094" s="1">
        <v>44463</v>
      </c>
      <c r="U1094">
        <v>37501</v>
      </c>
      <c r="V1094" t="s">
        <v>61</v>
      </c>
      <c r="W1094" t="s">
        <v>2057</v>
      </c>
      <c r="X1094" s="1">
        <v>44466</v>
      </c>
      <c r="Y1094" t="s">
        <v>63</v>
      </c>
      <c r="Z1094">
        <v>462.93</v>
      </c>
      <c r="AA1094">
        <v>16</v>
      </c>
      <c r="AB1094">
        <v>74.069999999999993</v>
      </c>
      <c r="AC1094">
        <v>0</v>
      </c>
      <c r="AD1094">
        <v>537</v>
      </c>
      <c r="AE1094">
        <v>537</v>
      </c>
      <c r="AF1094">
        <v>545</v>
      </c>
      <c r="AG1094" t="s">
        <v>2000</v>
      </c>
      <c r="AH1094" t="s">
        <v>65</v>
      </c>
      <c r="AI1094" t="s">
        <v>65</v>
      </c>
      <c r="AJ1094" t="s">
        <v>66</v>
      </c>
      <c r="AK1094" t="s">
        <v>66</v>
      </c>
      <c r="AL1094" t="s">
        <v>66</v>
      </c>
      <c r="AM1094" s="2" t="str">
        <f>HYPERLINK("https://transparencia.cidesi.mx/comprobantes/2021/CQ2100889 /C1FA-RN026154-AULG430317679.pdf")</f>
        <v>https://transparencia.cidesi.mx/comprobantes/2021/CQ2100889 /C1FA-RN026154-AULG430317679.pdf</v>
      </c>
      <c r="AN1094" t="str">
        <f>HYPERLINK("https://transparencia.cidesi.mx/comprobantes/2021/CQ2100889 /C1FA-RN026154-AULG430317679.pdf")</f>
        <v>https://transparencia.cidesi.mx/comprobantes/2021/CQ2100889 /C1FA-RN026154-AULG430317679.pdf</v>
      </c>
      <c r="AO1094" t="str">
        <f>HYPERLINK("https://transparencia.cidesi.mx/comprobantes/2021/CQ2100889 /C1FA-RN026154-AULG430317679.xml")</f>
        <v>https://transparencia.cidesi.mx/comprobantes/2021/CQ2100889 /C1FA-RN026154-AULG430317679.xml</v>
      </c>
      <c r="AP1094" t="s">
        <v>2031</v>
      </c>
      <c r="AQ1094" t="s">
        <v>2032</v>
      </c>
      <c r="AR1094" t="s">
        <v>2022</v>
      </c>
      <c r="AS1094" t="s">
        <v>2047</v>
      </c>
      <c r="AT1094" s="1">
        <v>44466</v>
      </c>
      <c r="AU1094" s="1">
        <v>44470</v>
      </c>
    </row>
    <row r="1095" spans="1:47" x14ac:dyDescent="0.3">
      <c r="A1095" t="s">
        <v>47</v>
      </c>
      <c r="B1095" t="s">
        <v>48</v>
      </c>
      <c r="C1095" t="s">
        <v>2058</v>
      </c>
      <c r="D1095">
        <v>100028</v>
      </c>
      <c r="E1095" t="s">
        <v>2059</v>
      </c>
      <c r="F1095" t="s">
        <v>2060</v>
      </c>
      <c r="G1095" t="s">
        <v>1765</v>
      </c>
      <c r="H1095" t="s">
        <v>2061</v>
      </c>
      <c r="I1095" t="s">
        <v>54</v>
      </c>
      <c r="J1095" t="s">
        <v>2062</v>
      </c>
      <c r="K1095" t="s">
        <v>56</v>
      </c>
      <c r="L1095">
        <v>101283</v>
      </c>
      <c r="M1095" t="s">
        <v>2063</v>
      </c>
      <c r="N1095">
        <v>0</v>
      </c>
      <c r="O1095" t="s">
        <v>58</v>
      </c>
      <c r="P1095" t="s">
        <v>2064</v>
      </c>
      <c r="Q1095" t="s">
        <v>2065</v>
      </c>
      <c r="R1095" t="s">
        <v>2062</v>
      </c>
      <c r="S1095" s="1">
        <v>44405</v>
      </c>
      <c r="T1095" s="1">
        <v>44405</v>
      </c>
      <c r="U1095">
        <v>37501</v>
      </c>
      <c r="V1095" t="s">
        <v>61</v>
      </c>
      <c r="W1095" t="s">
        <v>2066</v>
      </c>
      <c r="X1095" s="1">
        <v>44410</v>
      </c>
      <c r="Y1095" t="s">
        <v>63</v>
      </c>
      <c r="Z1095">
        <v>280.17</v>
      </c>
      <c r="AA1095">
        <v>16</v>
      </c>
      <c r="AB1095">
        <v>44.83</v>
      </c>
      <c r="AC1095">
        <v>32.5</v>
      </c>
      <c r="AD1095">
        <v>357.5</v>
      </c>
      <c r="AE1095">
        <v>357.5</v>
      </c>
      <c r="AF1095">
        <v>783</v>
      </c>
      <c r="AG1095" t="s">
        <v>2067</v>
      </c>
      <c r="AH1095" t="s">
        <v>65</v>
      </c>
      <c r="AI1095" t="s">
        <v>65</v>
      </c>
      <c r="AJ1095" t="s">
        <v>66</v>
      </c>
      <c r="AK1095" t="s">
        <v>66</v>
      </c>
      <c r="AL1095" t="s">
        <v>66</v>
      </c>
      <c r="AM1095" s="2" t="str">
        <f>HYPERLINK("https://transparencia.cidesi.mx/comprobantes/2021/CE2100014 /C1CHICTOAAAJ-85123_GAS910208GP3.pdf")</f>
        <v>https://transparencia.cidesi.mx/comprobantes/2021/CE2100014 /C1CHICTOAAAJ-85123_GAS910208GP3.pdf</v>
      </c>
      <c r="AN1095" t="str">
        <f>HYPERLINK("https://transparencia.cidesi.mx/comprobantes/2021/CE2100014 /C1CHICTOAAAJ-85123_GAS910208GP3.pdf")</f>
        <v>https://transparencia.cidesi.mx/comprobantes/2021/CE2100014 /C1CHICTOAAAJ-85123_GAS910208GP3.pdf</v>
      </c>
      <c r="AO1095" t="str">
        <f>HYPERLINK("https://transparencia.cidesi.mx/comprobantes/2021/CE2100014 /C1CHICTOAAAJ-85123_GAS910208GP3.xml")</f>
        <v>https://transparencia.cidesi.mx/comprobantes/2021/CE2100014 /C1CHICTOAAAJ-85123_GAS910208GP3.xml</v>
      </c>
      <c r="AP1095" t="s">
        <v>2068</v>
      </c>
      <c r="AQ1095" t="s">
        <v>2069</v>
      </c>
      <c r="AR1095" t="s">
        <v>2070</v>
      </c>
      <c r="AS1095" t="s">
        <v>2071</v>
      </c>
      <c r="AT1095" s="1">
        <v>44410</v>
      </c>
      <c r="AU1095" s="1">
        <v>44425</v>
      </c>
    </row>
    <row r="1096" spans="1:47" x14ac:dyDescent="0.3">
      <c r="A1096" t="s">
        <v>47</v>
      </c>
      <c r="B1096" t="s">
        <v>48</v>
      </c>
      <c r="C1096" t="s">
        <v>2058</v>
      </c>
      <c r="D1096">
        <v>100028</v>
      </c>
      <c r="E1096" t="s">
        <v>2059</v>
      </c>
      <c r="F1096" t="s">
        <v>2060</v>
      </c>
      <c r="G1096" t="s">
        <v>1765</v>
      </c>
      <c r="H1096" t="s">
        <v>2072</v>
      </c>
      <c r="I1096" t="s">
        <v>54</v>
      </c>
      <c r="J1096" t="s">
        <v>2073</v>
      </c>
      <c r="K1096" t="s">
        <v>56</v>
      </c>
      <c r="L1096">
        <v>0</v>
      </c>
      <c r="M1096" t="s">
        <v>73</v>
      </c>
      <c r="N1096">
        <v>0</v>
      </c>
      <c r="O1096" t="s">
        <v>58</v>
      </c>
      <c r="P1096" t="s">
        <v>2064</v>
      </c>
      <c r="Q1096" t="s">
        <v>601</v>
      </c>
      <c r="R1096" t="s">
        <v>2073</v>
      </c>
      <c r="S1096" s="1">
        <v>44463</v>
      </c>
      <c r="T1096" s="1">
        <v>44463</v>
      </c>
      <c r="U1096">
        <v>37501</v>
      </c>
      <c r="V1096" t="s">
        <v>61</v>
      </c>
      <c r="W1096" t="s">
        <v>2074</v>
      </c>
      <c r="X1096" s="1">
        <v>44466</v>
      </c>
      <c r="Y1096" t="s">
        <v>63</v>
      </c>
      <c r="Z1096">
        <v>99.14</v>
      </c>
      <c r="AA1096">
        <v>16</v>
      </c>
      <c r="AB1096">
        <v>15.86</v>
      </c>
      <c r="AC1096">
        <v>0</v>
      </c>
      <c r="AD1096">
        <v>115</v>
      </c>
      <c r="AE1096">
        <v>145</v>
      </c>
      <c r="AF1096">
        <v>545</v>
      </c>
      <c r="AG1096" t="s">
        <v>2067</v>
      </c>
      <c r="AH1096" t="s">
        <v>65</v>
      </c>
      <c r="AI1096" t="s">
        <v>65</v>
      </c>
      <c r="AJ1096" t="s">
        <v>66</v>
      </c>
      <c r="AK1096" t="s">
        <v>66</v>
      </c>
      <c r="AL1096" t="s">
        <v>66</v>
      </c>
      <c r="AM1096" s="2" t="str">
        <f>HYPERLINK("https://transparencia.cidesi.mx/comprobantes/2021/CE2100023 /C1V-8820493_PRB100802H20.pdf")</f>
        <v>https://transparencia.cidesi.mx/comprobantes/2021/CE2100023 /C1V-8820493_PRB100802H20.pdf</v>
      </c>
      <c r="AN1096" t="str">
        <f>HYPERLINK("https://transparencia.cidesi.mx/comprobantes/2021/CE2100023 /C1V-8820493_PRB100802H20.pdf")</f>
        <v>https://transparencia.cidesi.mx/comprobantes/2021/CE2100023 /C1V-8820493_PRB100802H20.pdf</v>
      </c>
      <c r="AO1096" t="str">
        <f>HYPERLINK("https://transparencia.cidesi.mx/comprobantes/2021/CE2100023 /C1V-8820493_PRB100802H20.xml")</f>
        <v>https://transparencia.cidesi.mx/comprobantes/2021/CE2100023 /C1V-8820493_PRB100802H20.xml</v>
      </c>
      <c r="AP1096" t="s">
        <v>2075</v>
      </c>
      <c r="AQ1096" t="s">
        <v>2076</v>
      </c>
      <c r="AR1096" t="s">
        <v>2077</v>
      </c>
      <c r="AS1096" t="s">
        <v>2078</v>
      </c>
      <c r="AT1096" s="1">
        <v>44467</v>
      </c>
      <c r="AU1096" s="1">
        <v>44473</v>
      </c>
    </row>
    <row r="1097" spans="1:47" x14ac:dyDescent="0.3">
      <c r="A1097" t="s">
        <v>47</v>
      </c>
      <c r="B1097" t="s">
        <v>48</v>
      </c>
      <c r="C1097" t="s">
        <v>2058</v>
      </c>
      <c r="D1097">
        <v>100028</v>
      </c>
      <c r="E1097" t="s">
        <v>2059</v>
      </c>
      <c r="F1097" t="s">
        <v>2060</v>
      </c>
      <c r="G1097" t="s">
        <v>1765</v>
      </c>
      <c r="H1097" t="s">
        <v>2072</v>
      </c>
      <c r="I1097" t="s">
        <v>54</v>
      </c>
      <c r="J1097" t="s">
        <v>2073</v>
      </c>
      <c r="K1097" t="s">
        <v>56</v>
      </c>
      <c r="L1097">
        <v>0</v>
      </c>
      <c r="M1097" t="s">
        <v>73</v>
      </c>
      <c r="N1097">
        <v>0</v>
      </c>
      <c r="O1097" t="s">
        <v>58</v>
      </c>
      <c r="P1097" t="s">
        <v>2064</v>
      </c>
      <c r="Q1097" t="s">
        <v>601</v>
      </c>
      <c r="R1097" t="s">
        <v>2073</v>
      </c>
      <c r="S1097" s="1">
        <v>44463</v>
      </c>
      <c r="T1097" s="1">
        <v>44463</v>
      </c>
      <c r="U1097">
        <v>37501</v>
      </c>
      <c r="V1097" t="s">
        <v>61</v>
      </c>
      <c r="W1097" t="s">
        <v>2074</v>
      </c>
      <c r="X1097" s="1">
        <v>44466</v>
      </c>
      <c r="Y1097" t="s">
        <v>63</v>
      </c>
      <c r="Z1097">
        <v>28.52</v>
      </c>
      <c r="AA1097">
        <v>16</v>
      </c>
      <c r="AB1097">
        <v>1.48</v>
      </c>
      <c r="AC1097">
        <v>0</v>
      </c>
      <c r="AD1097">
        <v>30</v>
      </c>
      <c r="AE1097">
        <v>145</v>
      </c>
      <c r="AF1097">
        <v>545</v>
      </c>
      <c r="AG1097" t="s">
        <v>2067</v>
      </c>
      <c r="AH1097" t="s">
        <v>65</v>
      </c>
      <c r="AI1097" t="s">
        <v>65</v>
      </c>
      <c r="AJ1097" t="s">
        <v>66</v>
      </c>
      <c r="AK1097" t="s">
        <v>66</v>
      </c>
      <c r="AL1097" t="s">
        <v>66</v>
      </c>
      <c r="AM1097" s="2" t="str">
        <f>HYPERLINK("https://transparencia.cidesi.mx/comprobantes/2021/CE2100023 /C2G116T-7978_GOM140325ES7.pdf")</f>
        <v>https://transparencia.cidesi.mx/comprobantes/2021/CE2100023 /C2G116T-7978_GOM140325ES7.pdf</v>
      </c>
      <c r="AN1097" t="str">
        <f>HYPERLINK("https://transparencia.cidesi.mx/comprobantes/2021/CE2100023 /C2G116T-7978_GOM140325ES7.pdf")</f>
        <v>https://transparencia.cidesi.mx/comprobantes/2021/CE2100023 /C2G116T-7978_GOM140325ES7.pdf</v>
      </c>
      <c r="AO1097" t="str">
        <f>HYPERLINK("https://transparencia.cidesi.mx/comprobantes/2021/CE2100023 /C2G116T-7978_GOM140325ES7.xml")</f>
        <v>https://transparencia.cidesi.mx/comprobantes/2021/CE2100023 /C2G116T-7978_GOM140325ES7.xml</v>
      </c>
      <c r="AP1097" t="s">
        <v>2075</v>
      </c>
      <c r="AQ1097" t="s">
        <v>2076</v>
      </c>
      <c r="AR1097" t="s">
        <v>2077</v>
      </c>
      <c r="AS1097" t="s">
        <v>2078</v>
      </c>
      <c r="AT1097" s="1">
        <v>44467</v>
      </c>
      <c r="AU1097" s="1">
        <v>44473</v>
      </c>
    </row>
    <row r="1098" spans="1:47" x14ac:dyDescent="0.3">
      <c r="A1098" t="s">
        <v>47</v>
      </c>
      <c r="B1098" t="s">
        <v>2079</v>
      </c>
      <c r="C1098" t="s">
        <v>2080</v>
      </c>
      <c r="D1098">
        <v>100051</v>
      </c>
      <c r="E1098" t="s">
        <v>2081</v>
      </c>
      <c r="F1098" t="s">
        <v>2082</v>
      </c>
      <c r="G1098" t="s">
        <v>186</v>
      </c>
      <c r="H1098" t="s">
        <v>2083</v>
      </c>
      <c r="I1098" t="s">
        <v>54</v>
      </c>
      <c r="J1098" t="s">
        <v>2084</v>
      </c>
      <c r="K1098" t="s">
        <v>56</v>
      </c>
      <c r="L1098">
        <v>0</v>
      </c>
      <c r="M1098" t="s">
        <v>73</v>
      </c>
      <c r="N1098">
        <v>0</v>
      </c>
      <c r="O1098" t="s">
        <v>58</v>
      </c>
      <c r="P1098" t="s">
        <v>59</v>
      </c>
      <c r="Q1098" t="s">
        <v>216</v>
      </c>
      <c r="R1098" t="s">
        <v>2084</v>
      </c>
      <c r="S1098" s="1">
        <v>44454</v>
      </c>
      <c r="T1098" s="1">
        <v>44454</v>
      </c>
      <c r="U1098">
        <v>37501</v>
      </c>
      <c r="V1098" t="s">
        <v>61</v>
      </c>
      <c r="W1098" t="s">
        <v>2085</v>
      </c>
      <c r="X1098" s="1">
        <v>44461</v>
      </c>
      <c r="Y1098" t="s">
        <v>63</v>
      </c>
      <c r="Z1098">
        <v>159.47999999999999</v>
      </c>
      <c r="AA1098">
        <v>16</v>
      </c>
      <c r="AB1098">
        <v>25.52</v>
      </c>
      <c r="AC1098">
        <v>18.5</v>
      </c>
      <c r="AD1098">
        <v>203.5</v>
      </c>
      <c r="AE1098">
        <v>203.5</v>
      </c>
      <c r="AF1098">
        <v>545</v>
      </c>
      <c r="AG1098" t="s">
        <v>2086</v>
      </c>
      <c r="AH1098" t="s">
        <v>65</v>
      </c>
      <c r="AI1098" t="s">
        <v>65</v>
      </c>
      <c r="AJ1098" t="s">
        <v>66</v>
      </c>
      <c r="AK1098" t="s">
        <v>66</v>
      </c>
      <c r="AL1098" t="s">
        <v>66</v>
      </c>
      <c r="AM1098" s="2" t="str">
        <f>HYPERLINK("https://transparencia.cidesi.mx/comprobantes/2021/CQ2100861 /C1CID840309UG7_TIWEBDF6582829.pdf")</f>
        <v>https://transparencia.cidesi.mx/comprobantes/2021/CQ2100861 /C1CID840309UG7_TIWEBDF6582829.pdf</v>
      </c>
      <c r="AN1098" t="str">
        <f>HYPERLINK("https://transparencia.cidesi.mx/comprobantes/2021/CQ2100861 /C1CID840309UG7_TIWEBDF6582829.pdf")</f>
        <v>https://transparencia.cidesi.mx/comprobantes/2021/CQ2100861 /C1CID840309UG7_TIWEBDF6582829.pdf</v>
      </c>
      <c r="AO1098" t="str">
        <f>HYPERLINK("https://transparencia.cidesi.mx/comprobantes/2021/CQ2100861 /C1CID840309UG7_TIWEBDF6582829.xml")</f>
        <v>https://transparencia.cidesi.mx/comprobantes/2021/CQ2100861 /C1CID840309UG7_TIWEBDF6582829.xml</v>
      </c>
      <c r="AP1098" t="s">
        <v>2087</v>
      </c>
      <c r="AQ1098" t="s">
        <v>2088</v>
      </c>
      <c r="AR1098" t="s">
        <v>2089</v>
      </c>
      <c r="AS1098" t="s">
        <v>2090</v>
      </c>
      <c r="AT1098" s="1">
        <v>44463</v>
      </c>
      <c r="AU1098" s="1">
        <v>44470</v>
      </c>
    </row>
    <row r="1099" spans="1:47" x14ac:dyDescent="0.3">
      <c r="A1099" t="s">
        <v>47</v>
      </c>
      <c r="B1099" t="s">
        <v>2079</v>
      </c>
      <c r="C1099" t="s">
        <v>2080</v>
      </c>
      <c r="D1099">
        <v>100051</v>
      </c>
      <c r="E1099" t="s">
        <v>2081</v>
      </c>
      <c r="F1099" t="s">
        <v>2082</v>
      </c>
      <c r="G1099" t="s">
        <v>186</v>
      </c>
      <c r="H1099" t="s">
        <v>2091</v>
      </c>
      <c r="I1099" t="s">
        <v>54</v>
      </c>
      <c r="J1099" t="s">
        <v>2092</v>
      </c>
      <c r="K1099" t="s">
        <v>56</v>
      </c>
      <c r="L1099">
        <v>0</v>
      </c>
      <c r="M1099" t="s">
        <v>73</v>
      </c>
      <c r="N1099">
        <v>0</v>
      </c>
      <c r="O1099" t="s">
        <v>58</v>
      </c>
      <c r="P1099" t="s">
        <v>59</v>
      </c>
      <c r="Q1099" t="s">
        <v>216</v>
      </c>
      <c r="R1099" t="s">
        <v>2092</v>
      </c>
      <c r="S1099" s="1">
        <v>44462</v>
      </c>
      <c r="T1099" s="1">
        <v>44462</v>
      </c>
      <c r="U1099">
        <v>37501</v>
      </c>
      <c r="V1099" t="s">
        <v>61</v>
      </c>
      <c r="W1099" t="s">
        <v>2093</v>
      </c>
      <c r="X1099" s="1">
        <v>44470</v>
      </c>
      <c r="Y1099" t="s">
        <v>100</v>
      </c>
      <c r="Z1099">
        <v>444.83</v>
      </c>
      <c r="AA1099">
        <v>16</v>
      </c>
      <c r="AB1099">
        <v>71.17</v>
      </c>
      <c r="AC1099">
        <v>29</v>
      </c>
      <c r="AD1099">
        <v>545</v>
      </c>
      <c r="AE1099">
        <v>545</v>
      </c>
      <c r="AF1099">
        <v>545</v>
      </c>
      <c r="AG1099" t="s">
        <v>2086</v>
      </c>
      <c r="AH1099" t="s">
        <v>66</v>
      </c>
      <c r="AI1099" t="s">
        <v>65</v>
      </c>
      <c r="AJ1099" t="s">
        <v>66</v>
      </c>
      <c r="AK1099" t="s">
        <v>66</v>
      </c>
      <c r="AL1099" t="s">
        <v>66</v>
      </c>
      <c r="AM1099" s="2" t="str">
        <f>HYPERLINK("https://transparencia.cidesi.mx/comprobantes/2021/CQ2100925 /C158b821fc-cf33-454e-8303-dd5e8c52d369.pdf")</f>
        <v>https://transparencia.cidesi.mx/comprobantes/2021/CQ2100925 /C158b821fc-cf33-454e-8303-dd5e8c52d369.pdf</v>
      </c>
      <c r="AN1099" t="str">
        <f>HYPERLINK("https://transparencia.cidesi.mx/comprobantes/2021/CQ2100925 /C158b821fc-cf33-454e-8303-dd5e8c52d369.pdf")</f>
        <v>https://transparencia.cidesi.mx/comprobantes/2021/CQ2100925 /C158b821fc-cf33-454e-8303-dd5e8c52d369.pdf</v>
      </c>
      <c r="AO1099" t="str">
        <f>HYPERLINK("https://transparencia.cidesi.mx/comprobantes/2021/CQ2100925 /C158b821fc-cf33-454e-8303-dd5e8c52d369.xml")</f>
        <v>https://transparencia.cidesi.mx/comprobantes/2021/CQ2100925 /C158b821fc-cf33-454e-8303-dd5e8c52d369.xml</v>
      </c>
      <c r="AP1099" t="s">
        <v>2094</v>
      </c>
      <c r="AQ1099" t="s">
        <v>2095</v>
      </c>
      <c r="AR1099" t="s">
        <v>2096</v>
      </c>
      <c r="AS1099" t="s">
        <v>2097</v>
      </c>
      <c r="AT1099" s="1">
        <v>44470</v>
      </c>
      <c r="AU1099" t="s">
        <v>73</v>
      </c>
    </row>
    <row r="1100" spans="1:47" x14ac:dyDescent="0.3">
      <c r="A1100" t="s">
        <v>47</v>
      </c>
      <c r="B1100" t="s">
        <v>2079</v>
      </c>
      <c r="C1100" t="s">
        <v>2080</v>
      </c>
      <c r="D1100">
        <v>100051</v>
      </c>
      <c r="E1100" t="s">
        <v>2081</v>
      </c>
      <c r="F1100" t="s">
        <v>2082</v>
      </c>
      <c r="G1100" t="s">
        <v>186</v>
      </c>
      <c r="H1100" t="s">
        <v>2098</v>
      </c>
      <c r="I1100" t="s">
        <v>54</v>
      </c>
      <c r="J1100" t="s">
        <v>2099</v>
      </c>
      <c r="K1100" t="s">
        <v>56</v>
      </c>
      <c r="L1100">
        <v>0</v>
      </c>
      <c r="M1100" t="s">
        <v>73</v>
      </c>
      <c r="N1100">
        <v>0</v>
      </c>
      <c r="O1100" t="s">
        <v>58</v>
      </c>
      <c r="P1100" t="s">
        <v>59</v>
      </c>
      <c r="Q1100" t="s">
        <v>216</v>
      </c>
      <c r="R1100" t="s">
        <v>2099</v>
      </c>
      <c r="S1100" s="1">
        <v>44468</v>
      </c>
      <c r="T1100" s="1">
        <v>44468</v>
      </c>
      <c r="U1100">
        <v>37501</v>
      </c>
      <c r="V1100" t="s">
        <v>61</v>
      </c>
      <c r="W1100" t="s">
        <v>2100</v>
      </c>
      <c r="X1100" s="1">
        <v>44474</v>
      </c>
      <c r="Y1100" t="s">
        <v>207</v>
      </c>
      <c r="Z1100">
        <v>187.07</v>
      </c>
      <c r="AA1100">
        <v>16</v>
      </c>
      <c r="AB1100">
        <v>29.93</v>
      </c>
      <c r="AC1100">
        <v>22</v>
      </c>
      <c r="AD1100">
        <v>239</v>
      </c>
      <c r="AE1100">
        <v>239</v>
      </c>
      <c r="AF1100">
        <v>545</v>
      </c>
      <c r="AG1100" t="s">
        <v>2086</v>
      </c>
      <c r="AH1100" t="s">
        <v>65</v>
      </c>
      <c r="AI1100" t="s">
        <v>65</v>
      </c>
      <c r="AJ1100" t="s">
        <v>66</v>
      </c>
      <c r="AK1100" t="s">
        <v>66</v>
      </c>
      <c r="AL1100" t="s">
        <v>66</v>
      </c>
      <c r="AM1100" s="2" t="str">
        <f>HYPERLINK("https://transparencia.cidesi.mx/comprobantes/2021/CQ2100938 /C11TIWEBDF000006617336.pdf")</f>
        <v>https://transparencia.cidesi.mx/comprobantes/2021/CQ2100938 /C11TIWEBDF000006617336.pdf</v>
      </c>
      <c r="AN1100" t="str">
        <f>HYPERLINK("https://transparencia.cidesi.mx/comprobantes/2021/CQ2100938 /C11TIWEBDF000006617336.pdf")</f>
        <v>https://transparencia.cidesi.mx/comprobantes/2021/CQ2100938 /C11TIWEBDF000006617336.pdf</v>
      </c>
      <c r="AO1100" t="str">
        <f>HYPERLINK("https://transparencia.cidesi.mx/comprobantes/2021/CQ2100938 /C11TIWEBDF000006617336.xml")</f>
        <v>https://transparencia.cidesi.mx/comprobantes/2021/CQ2100938 /C11TIWEBDF000006617336.xml</v>
      </c>
      <c r="AP1100" t="s">
        <v>2101</v>
      </c>
      <c r="AQ1100" t="s">
        <v>2102</v>
      </c>
      <c r="AR1100" t="s">
        <v>2103</v>
      </c>
      <c r="AS1100" t="s">
        <v>2104</v>
      </c>
      <c r="AT1100" s="1">
        <v>44475</v>
      </c>
      <c r="AU1100" t="s">
        <v>73</v>
      </c>
    </row>
    <row r="1101" spans="1:47" x14ac:dyDescent="0.3">
      <c r="A1101" t="s">
        <v>47</v>
      </c>
      <c r="B1101" t="s">
        <v>224</v>
      </c>
      <c r="C1101" t="s">
        <v>225</v>
      </c>
      <c r="D1101">
        <v>100105</v>
      </c>
      <c r="E1101" t="s">
        <v>2105</v>
      </c>
      <c r="F1101" t="s">
        <v>248</v>
      </c>
      <c r="G1101" t="s">
        <v>2106</v>
      </c>
      <c r="H1101" t="s">
        <v>2107</v>
      </c>
      <c r="I1101" t="s">
        <v>54</v>
      </c>
      <c r="J1101" t="s">
        <v>2108</v>
      </c>
      <c r="K1101" t="s">
        <v>56</v>
      </c>
      <c r="L1101">
        <v>0</v>
      </c>
      <c r="M1101" t="s">
        <v>73</v>
      </c>
      <c r="N1101">
        <v>0</v>
      </c>
      <c r="O1101" t="s">
        <v>58</v>
      </c>
      <c r="P1101" t="s">
        <v>59</v>
      </c>
      <c r="Q1101" t="s">
        <v>216</v>
      </c>
      <c r="R1101" t="s">
        <v>2108</v>
      </c>
      <c r="S1101" s="1">
        <v>44378</v>
      </c>
      <c r="T1101" s="1">
        <v>44378</v>
      </c>
      <c r="U1101">
        <v>37501</v>
      </c>
      <c r="V1101" t="s">
        <v>61</v>
      </c>
      <c r="W1101" t="s">
        <v>2109</v>
      </c>
      <c r="X1101" s="1">
        <v>44383</v>
      </c>
      <c r="Y1101" t="s">
        <v>63</v>
      </c>
      <c r="Z1101">
        <v>57</v>
      </c>
      <c r="AA1101">
        <v>0</v>
      </c>
      <c r="AB1101">
        <v>0</v>
      </c>
      <c r="AC1101">
        <v>0</v>
      </c>
      <c r="AD1101">
        <v>57</v>
      </c>
      <c r="AE1101">
        <v>457</v>
      </c>
      <c r="AF1101">
        <v>545</v>
      </c>
      <c r="AG1101" t="s">
        <v>2110</v>
      </c>
      <c r="AH1101" t="s">
        <v>65</v>
      </c>
      <c r="AI1101" t="s">
        <v>65</v>
      </c>
      <c r="AJ1101" t="s">
        <v>66</v>
      </c>
      <c r="AK1101" t="s">
        <v>66</v>
      </c>
      <c r="AL1101" t="s">
        <v>66</v>
      </c>
      <c r="AM1101" s="2" t="str">
        <f>HYPERLINK("https://transparencia.cidesi.mx/comprobantes/2021/CQ2100460 /C1FACTURA_1625448077269_336183525.pdf")</f>
        <v>https://transparencia.cidesi.mx/comprobantes/2021/CQ2100460 /C1FACTURA_1625448077269_336183525.pdf</v>
      </c>
      <c r="AN1101" t="str">
        <f>HYPERLINK("https://transparencia.cidesi.mx/comprobantes/2021/CQ2100460 /C1FACTURA_1625448077269_336183525.pdf")</f>
        <v>https://transparencia.cidesi.mx/comprobantes/2021/CQ2100460 /C1FACTURA_1625448077269_336183525.pdf</v>
      </c>
      <c r="AO1101" t="str">
        <f>HYPERLINK("https://transparencia.cidesi.mx/comprobantes/2021/CQ2100460 /C1FACTURA_1625448112879_336183525.xml")</f>
        <v>https://transparencia.cidesi.mx/comprobantes/2021/CQ2100460 /C1FACTURA_1625448112879_336183525.xml</v>
      </c>
      <c r="AP1101" t="s">
        <v>2111</v>
      </c>
      <c r="AQ1101" t="s">
        <v>2112</v>
      </c>
      <c r="AR1101" t="s">
        <v>2112</v>
      </c>
      <c r="AS1101" t="s">
        <v>2112</v>
      </c>
      <c r="AT1101" s="1">
        <v>44384</v>
      </c>
      <c r="AU1101" s="1">
        <v>44389</v>
      </c>
    </row>
    <row r="1102" spans="1:47" x14ac:dyDescent="0.3">
      <c r="A1102" t="s">
        <v>47</v>
      </c>
      <c r="B1102" t="s">
        <v>224</v>
      </c>
      <c r="C1102" t="s">
        <v>225</v>
      </c>
      <c r="D1102">
        <v>100105</v>
      </c>
      <c r="E1102" t="s">
        <v>2105</v>
      </c>
      <c r="F1102" t="s">
        <v>248</v>
      </c>
      <c r="G1102" t="s">
        <v>2106</v>
      </c>
      <c r="H1102" t="s">
        <v>2107</v>
      </c>
      <c r="I1102" t="s">
        <v>54</v>
      </c>
      <c r="J1102" t="s">
        <v>2108</v>
      </c>
      <c r="K1102" t="s">
        <v>56</v>
      </c>
      <c r="L1102">
        <v>0</v>
      </c>
      <c r="M1102" t="s">
        <v>73</v>
      </c>
      <c r="N1102">
        <v>0</v>
      </c>
      <c r="O1102" t="s">
        <v>58</v>
      </c>
      <c r="P1102" t="s">
        <v>59</v>
      </c>
      <c r="Q1102" t="s">
        <v>216</v>
      </c>
      <c r="R1102" t="s">
        <v>2108</v>
      </c>
      <c r="S1102" s="1">
        <v>44378</v>
      </c>
      <c r="T1102" s="1">
        <v>44378</v>
      </c>
      <c r="U1102">
        <v>37501</v>
      </c>
      <c r="V1102" t="s">
        <v>61</v>
      </c>
      <c r="W1102" t="s">
        <v>2109</v>
      </c>
      <c r="X1102" s="1">
        <v>44383</v>
      </c>
      <c r="Y1102" t="s">
        <v>63</v>
      </c>
      <c r="Z1102">
        <v>312.07</v>
      </c>
      <c r="AA1102">
        <v>16</v>
      </c>
      <c r="AB1102">
        <v>49.93</v>
      </c>
      <c r="AC1102">
        <v>38</v>
      </c>
      <c r="AD1102">
        <v>400</v>
      </c>
      <c r="AE1102">
        <v>457</v>
      </c>
      <c r="AF1102">
        <v>545</v>
      </c>
      <c r="AG1102" t="s">
        <v>2110</v>
      </c>
      <c r="AH1102" t="s">
        <v>65</v>
      </c>
      <c r="AI1102" t="s">
        <v>65</v>
      </c>
      <c r="AJ1102" t="s">
        <v>66</v>
      </c>
      <c r="AK1102" t="s">
        <v>66</v>
      </c>
      <c r="AL1102" t="s">
        <v>66</v>
      </c>
      <c r="AM1102" s="2" t="str">
        <f>HYPERLINK("https://transparencia.cidesi.mx/comprobantes/2021/CQ2100460 /C2CID840309UG7F0000018699.pdf")</f>
        <v>https://transparencia.cidesi.mx/comprobantes/2021/CQ2100460 /C2CID840309UG7F0000018699.pdf</v>
      </c>
      <c r="AN1102" t="str">
        <f>HYPERLINK("https://transparencia.cidesi.mx/comprobantes/2021/CQ2100460 /C2CID840309UG7F0000018699.pdf")</f>
        <v>https://transparencia.cidesi.mx/comprobantes/2021/CQ2100460 /C2CID840309UG7F0000018699.pdf</v>
      </c>
      <c r="AO1102" t="str">
        <f>HYPERLINK("https://transparencia.cidesi.mx/comprobantes/2021/CQ2100460 /C2CID840309UG7F0000018699.xml")</f>
        <v>https://transparencia.cidesi.mx/comprobantes/2021/CQ2100460 /C2CID840309UG7F0000018699.xml</v>
      </c>
      <c r="AP1102" t="s">
        <v>2111</v>
      </c>
      <c r="AQ1102" t="s">
        <v>2112</v>
      </c>
      <c r="AR1102" t="s">
        <v>2112</v>
      </c>
      <c r="AS1102" t="s">
        <v>2112</v>
      </c>
      <c r="AT1102" s="1">
        <v>44384</v>
      </c>
      <c r="AU1102" s="1">
        <v>44389</v>
      </c>
    </row>
    <row r="1103" spans="1:47" x14ac:dyDescent="0.3">
      <c r="A1103" t="s">
        <v>47</v>
      </c>
      <c r="B1103" t="s">
        <v>224</v>
      </c>
      <c r="C1103" t="s">
        <v>225</v>
      </c>
      <c r="D1103">
        <v>100105</v>
      </c>
      <c r="E1103" t="s">
        <v>2105</v>
      </c>
      <c r="F1103" t="s">
        <v>248</v>
      </c>
      <c r="G1103" t="s">
        <v>2106</v>
      </c>
      <c r="H1103" t="s">
        <v>2113</v>
      </c>
      <c r="I1103" t="s">
        <v>54</v>
      </c>
      <c r="J1103" t="s">
        <v>2114</v>
      </c>
      <c r="K1103" t="s">
        <v>56</v>
      </c>
      <c r="L1103">
        <v>0</v>
      </c>
      <c r="M1103" t="s">
        <v>73</v>
      </c>
      <c r="N1103">
        <v>0</v>
      </c>
      <c r="O1103" t="s">
        <v>58</v>
      </c>
      <c r="P1103" t="s">
        <v>59</v>
      </c>
      <c r="Q1103" t="s">
        <v>216</v>
      </c>
      <c r="R1103" t="s">
        <v>2114</v>
      </c>
      <c r="S1103" s="1">
        <v>44379</v>
      </c>
      <c r="T1103" s="1">
        <v>44379</v>
      </c>
      <c r="U1103">
        <v>37501</v>
      </c>
      <c r="V1103" t="s">
        <v>61</v>
      </c>
      <c r="W1103" t="s">
        <v>2115</v>
      </c>
      <c r="X1103" s="1">
        <v>44383</v>
      </c>
      <c r="Y1103" t="s">
        <v>63</v>
      </c>
      <c r="Z1103">
        <v>383</v>
      </c>
      <c r="AA1103">
        <v>16</v>
      </c>
      <c r="AB1103">
        <v>61.28</v>
      </c>
      <c r="AC1103">
        <v>44.42</v>
      </c>
      <c r="AD1103">
        <v>488.7</v>
      </c>
      <c r="AE1103">
        <v>488.7</v>
      </c>
      <c r="AF1103">
        <v>545</v>
      </c>
      <c r="AG1103" t="s">
        <v>2110</v>
      </c>
      <c r="AH1103" t="s">
        <v>65</v>
      </c>
      <c r="AI1103" t="s">
        <v>65</v>
      </c>
      <c r="AJ1103" t="s">
        <v>66</v>
      </c>
      <c r="AK1103" t="s">
        <v>66</v>
      </c>
      <c r="AL1103" t="s">
        <v>66</v>
      </c>
      <c r="AM1103" s="2" t="str">
        <f>HYPERLINK("https://transparencia.cidesi.mx/comprobantes/2021/CQ2100461 /C1fc55342F.pdf")</f>
        <v>https://transparencia.cidesi.mx/comprobantes/2021/CQ2100461 /C1fc55342F.pdf</v>
      </c>
      <c r="AN1103" t="str">
        <f>HYPERLINK("https://transparencia.cidesi.mx/comprobantes/2021/CQ2100461 /C1fc55342F.pdf")</f>
        <v>https://transparencia.cidesi.mx/comprobantes/2021/CQ2100461 /C1fc55342F.pdf</v>
      </c>
      <c r="AO1103" t="str">
        <f>HYPERLINK("https://transparencia.cidesi.mx/comprobantes/2021/CQ2100461 /C155342F_xml.xml")</f>
        <v>https://transparencia.cidesi.mx/comprobantes/2021/CQ2100461 /C155342F_xml.xml</v>
      </c>
      <c r="AP1103" t="s">
        <v>2111</v>
      </c>
      <c r="AQ1103" t="s">
        <v>2112</v>
      </c>
      <c r="AR1103" t="s">
        <v>2112</v>
      </c>
      <c r="AS1103" t="s">
        <v>2112</v>
      </c>
      <c r="AT1103" s="1">
        <v>44384</v>
      </c>
      <c r="AU1103" s="1">
        <v>44389</v>
      </c>
    </row>
    <row r="1104" spans="1:47" x14ac:dyDescent="0.3">
      <c r="A1104" t="s">
        <v>47</v>
      </c>
      <c r="B1104" t="s">
        <v>224</v>
      </c>
      <c r="C1104" t="s">
        <v>225</v>
      </c>
      <c r="D1104">
        <v>100105</v>
      </c>
      <c r="E1104" t="s">
        <v>2105</v>
      </c>
      <c r="F1104" t="s">
        <v>248</v>
      </c>
      <c r="G1104" t="s">
        <v>2106</v>
      </c>
      <c r="H1104" t="s">
        <v>2116</v>
      </c>
      <c r="I1104" t="s">
        <v>54</v>
      </c>
      <c r="J1104" t="s">
        <v>2114</v>
      </c>
      <c r="K1104" t="s">
        <v>56</v>
      </c>
      <c r="L1104">
        <v>0</v>
      </c>
      <c r="M1104" t="s">
        <v>73</v>
      </c>
      <c r="N1104">
        <v>0</v>
      </c>
      <c r="O1104" t="s">
        <v>58</v>
      </c>
      <c r="P1104" t="s">
        <v>59</v>
      </c>
      <c r="Q1104" t="s">
        <v>216</v>
      </c>
      <c r="R1104" t="s">
        <v>2114</v>
      </c>
      <c r="S1104" s="1">
        <v>44382</v>
      </c>
      <c r="T1104" s="1">
        <v>44382</v>
      </c>
      <c r="U1104">
        <v>37501</v>
      </c>
      <c r="V1104" t="s">
        <v>61</v>
      </c>
      <c r="W1104" t="s">
        <v>2117</v>
      </c>
      <c r="X1104" s="1">
        <v>44383</v>
      </c>
      <c r="Y1104" t="s">
        <v>63</v>
      </c>
      <c r="Z1104">
        <v>377.59</v>
      </c>
      <c r="AA1104">
        <v>16</v>
      </c>
      <c r="AB1104">
        <v>60.41</v>
      </c>
      <c r="AC1104">
        <v>44</v>
      </c>
      <c r="AD1104">
        <v>482</v>
      </c>
      <c r="AE1104">
        <v>482</v>
      </c>
      <c r="AF1104">
        <v>545</v>
      </c>
      <c r="AG1104" t="s">
        <v>2110</v>
      </c>
      <c r="AH1104" t="s">
        <v>65</v>
      </c>
      <c r="AI1104" t="s">
        <v>65</v>
      </c>
      <c r="AJ1104" t="s">
        <v>66</v>
      </c>
      <c r="AK1104" t="s">
        <v>66</v>
      </c>
      <c r="AL1104" t="s">
        <v>66</v>
      </c>
      <c r="AM1104" s="2" t="str">
        <f>HYPERLINK("https://transparencia.cidesi.mx/comprobantes/2021/CQ2100466 /C1CID840309UG7F0000018715.pdf")</f>
        <v>https://transparencia.cidesi.mx/comprobantes/2021/CQ2100466 /C1CID840309UG7F0000018715.pdf</v>
      </c>
      <c r="AN1104" t="str">
        <f>HYPERLINK("https://transparencia.cidesi.mx/comprobantes/2021/CQ2100466 /C1CID840309UG7F0000018715.pdf")</f>
        <v>https://transparencia.cidesi.mx/comprobantes/2021/CQ2100466 /C1CID840309UG7F0000018715.pdf</v>
      </c>
      <c r="AO1104" t="str">
        <f>HYPERLINK("https://transparencia.cidesi.mx/comprobantes/2021/CQ2100466 /C1CID840309UG7F0000018715.xml")</f>
        <v>https://transparencia.cidesi.mx/comprobantes/2021/CQ2100466 /C1CID840309UG7F0000018715.xml</v>
      </c>
      <c r="AP1104" t="s">
        <v>2111</v>
      </c>
      <c r="AQ1104" t="s">
        <v>2112</v>
      </c>
      <c r="AR1104" t="s">
        <v>2112</v>
      </c>
      <c r="AS1104" t="s">
        <v>2112</v>
      </c>
      <c r="AT1104" s="1">
        <v>44384</v>
      </c>
      <c r="AU1104" s="1">
        <v>44389</v>
      </c>
    </row>
    <row r="1105" spans="1:47" x14ac:dyDescent="0.3">
      <c r="A1105" t="s">
        <v>47</v>
      </c>
      <c r="B1105" t="s">
        <v>224</v>
      </c>
      <c r="C1105" t="s">
        <v>225</v>
      </c>
      <c r="D1105">
        <v>100105</v>
      </c>
      <c r="E1105" t="s">
        <v>2105</v>
      </c>
      <c r="F1105" t="s">
        <v>248</v>
      </c>
      <c r="G1105" t="s">
        <v>2106</v>
      </c>
      <c r="H1105" t="s">
        <v>2118</v>
      </c>
      <c r="I1105" t="s">
        <v>54</v>
      </c>
      <c r="J1105" t="s">
        <v>2114</v>
      </c>
      <c r="K1105" t="s">
        <v>56</v>
      </c>
      <c r="L1105">
        <v>0</v>
      </c>
      <c r="M1105" t="s">
        <v>73</v>
      </c>
      <c r="N1105">
        <v>0</v>
      </c>
      <c r="O1105" t="s">
        <v>58</v>
      </c>
      <c r="P1105" t="s">
        <v>59</v>
      </c>
      <c r="Q1105" t="s">
        <v>216</v>
      </c>
      <c r="R1105" t="s">
        <v>2114</v>
      </c>
      <c r="S1105" s="1">
        <v>44399</v>
      </c>
      <c r="T1105" s="1">
        <v>44400</v>
      </c>
      <c r="U1105">
        <v>37501</v>
      </c>
      <c r="V1105" t="s">
        <v>104</v>
      </c>
      <c r="W1105" t="s">
        <v>2119</v>
      </c>
      <c r="X1105" s="1">
        <v>44404</v>
      </c>
      <c r="Y1105" t="s">
        <v>63</v>
      </c>
      <c r="Z1105">
        <v>416</v>
      </c>
      <c r="AA1105">
        <v>16</v>
      </c>
      <c r="AB1105">
        <v>64</v>
      </c>
      <c r="AC1105">
        <v>0</v>
      </c>
      <c r="AD1105">
        <v>480</v>
      </c>
      <c r="AE1105">
        <v>1492</v>
      </c>
      <c r="AF1105">
        <v>1636</v>
      </c>
      <c r="AG1105" t="s">
        <v>2120</v>
      </c>
      <c r="AH1105" t="s">
        <v>65</v>
      </c>
      <c r="AI1105" t="s">
        <v>65</v>
      </c>
      <c r="AJ1105" t="s">
        <v>66</v>
      </c>
      <c r="AK1105" t="s">
        <v>66</v>
      </c>
      <c r="AL1105" t="s">
        <v>66</v>
      </c>
      <c r="AM1105" s="2" t="str">
        <f>HYPERLINK("https://transparencia.cidesi.mx/comprobantes/2021/CQ2100553 /C1H_475.pdf")</f>
        <v>https://transparencia.cidesi.mx/comprobantes/2021/CQ2100553 /C1H_475.pdf</v>
      </c>
      <c r="AN1105" t="str">
        <f>HYPERLINK("https://transparencia.cidesi.mx/comprobantes/2021/CQ2100553 /C1H_475.pdf")</f>
        <v>https://transparencia.cidesi.mx/comprobantes/2021/CQ2100553 /C1H_475.pdf</v>
      </c>
      <c r="AO1105" t="str">
        <f>HYPERLINK("https://transparencia.cidesi.mx/comprobantes/2021/CQ2100553 /C1H_475.xml")</f>
        <v>https://transparencia.cidesi.mx/comprobantes/2021/CQ2100553 /C1H_475.xml</v>
      </c>
      <c r="AP1105" t="s">
        <v>2121</v>
      </c>
      <c r="AQ1105" t="s">
        <v>2111</v>
      </c>
      <c r="AR1105" t="s">
        <v>2111</v>
      </c>
      <c r="AS1105" t="s">
        <v>2111</v>
      </c>
      <c r="AT1105" s="1">
        <v>44405</v>
      </c>
      <c r="AU1105" s="1">
        <v>44424</v>
      </c>
    </row>
    <row r="1106" spans="1:47" x14ac:dyDescent="0.3">
      <c r="A1106" t="s">
        <v>47</v>
      </c>
      <c r="B1106" t="s">
        <v>224</v>
      </c>
      <c r="C1106" t="s">
        <v>225</v>
      </c>
      <c r="D1106">
        <v>100105</v>
      </c>
      <c r="E1106" t="s">
        <v>2105</v>
      </c>
      <c r="F1106" t="s">
        <v>248</v>
      </c>
      <c r="G1106" t="s">
        <v>2106</v>
      </c>
      <c r="H1106" t="s">
        <v>2118</v>
      </c>
      <c r="I1106" t="s">
        <v>54</v>
      </c>
      <c r="J1106" t="s">
        <v>2114</v>
      </c>
      <c r="K1106" t="s">
        <v>56</v>
      </c>
      <c r="L1106">
        <v>0</v>
      </c>
      <c r="M1106" t="s">
        <v>73</v>
      </c>
      <c r="N1106">
        <v>0</v>
      </c>
      <c r="O1106" t="s">
        <v>58</v>
      </c>
      <c r="P1106" t="s">
        <v>59</v>
      </c>
      <c r="Q1106" t="s">
        <v>216</v>
      </c>
      <c r="R1106" t="s">
        <v>2114</v>
      </c>
      <c r="S1106" s="1">
        <v>44399</v>
      </c>
      <c r="T1106" s="1">
        <v>44400</v>
      </c>
      <c r="U1106">
        <v>37501</v>
      </c>
      <c r="V1106" t="s">
        <v>61</v>
      </c>
      <c r="W1106" t="s">
        <v>2119</v>
      </c>
      <c r="X1106" s="1">
        <v>44404</v>
      </c>
      <c r="Y1106" t="s">
        <v>63</v>
      </c>
      <c r="Z1106">
        <v>305.17</v>
      </c>
      <c r="AA1106">
        <v>16</v>
      </c>
      <c r="AB1106">
        <v>48.83</v>
      </c>
      <c r="AC1106">
        <v>36</v>
      </c>
      <c r="AD1106">
        <v>390</v>
      </c>
      <c r="AE1106">
        <v>1492</v>
      </c>
      <c r="AF1106">
        <v>1636</v>
      </c>
      <c r="AG1106" t="s">
        <v>2110</v>
      </c>
      <c r="AH1106" t="s">
        <v>65</v>
      </c>
      <c r="AI1106" t="s">
        <v>65</v>
      </c>
      <c r="AJ1106" t="s">
        <v>66</v>
      </c>
      <c r="AK1106" t="s">
        <v>66</v>
      </c>
      <c r="AL1106" t="s">
        <v>66</v>
      </c>
      <c r="AM1106" s="2" t="str">
        <f>HYPERLINK("https://transparencia.cidesi.mx/comprobantes/2021/CQ2100553 /C2CID840309UG7F0000018932.pdf")</f>
        <v>https://transparencia.cidesi.mx/comprobantes/2021/CQ2100553 /C2CID840309UG7F0000018932.pdf</v>
      </c>
      <c r="AN1106" t="str">
        <f>HYPERLINK("https://transparencia.cidesi.mx/comprobantes/2021/CQ2100553 /C2CID840309UG7F0000018932.pdf")</f>
        <v>https://transparencia.cidesi.mx/comprobantes/2021/CQ2100553 /C2CID840309UG7F0000018932.pdf</v>
      </c>
      <c r="AO1106" t="str">
        <f>HYPERLINK("https://transparencia.cidesi.mx/comprobantes/2021/CQ2100553 /C2CID840309UG7F0000018932.xml")</f>
        <v>https://transparencia.cidesi.mx/comprobantes/2021/CQ2100553 /C2CID840309UG7F0000018932.xml</v>
      </c>
      <c r="AP1106" t="s">
        <v>2121</v>
      </c>
      <c r="AQ1106" t="s">
        <v>2111</v>
      </c>
      <c r="AR1106" t="s">
        <v>2111</v>
      </c>
      <c r="AS1106" t="s">
        <v>2111</v>
      </c>
      <c r="AT1106" s="1">
        <v>44405</v>
      </c>
      <c r="AU1106" s="1">
        <v>44424</v>
      </c>
    </row>
    <row r="1107" spans="1:47" x14ac:dyDescent="0.3">
      <c r="A1107" t="s">
        <v>47</v>
      </c>
      <c r="B1107" t="s">
        <v>224</v>
      </c>
      <c r="C1107" t="s">
        <v>225</v>
      </c>
      <c r="D1107">
        <v>100105</v>
      </c>
      <c r="E1107" t="s">
        <v>2105</v>
      </c>
      <c r="F1107" t="s">
        <v>248</v>
      </c>
      <c r="G1107" t="s">
        <v>2106</v>
      </c>
      <c r="H1107" t="s">
        <v>2118</v>
      </c>
      <c r="I1107" t="s">
        <v>54</v>
      </c>
      <c r="J1107" t="s">
        <v>2114</v>
      </c>
      <c r="K1107" t="s">
        <v>56</v>
      </c>
      <c r="L1107">
        <v>0</v>
      </c>
      <c r="M1107" t="s">
        <v>73</v>
      </c>
      <c r="N1107">
        <v>0</v>
      </c>
      <c r="O1107" t="s">
        <v>58</v>
      </c>
      <c r="P1107" t="s">
        <v>59</v>
      </c>
      <c r="Q1107" t="s">
        <v>216</v>
      </c>
      <c r="R1107" t="s">
        <v>2114</v>
      </c>
      <c r="S1107" s="1">
        <v>44399</v>
      </c>
      <c r="T1107" s="1">
        <v>44400</v>
      </c>
      <c r="U1107">
        <v>37501</v>
      </c>
      <c r="V1107" t="s">
        <v>61</v>
      </c>
      <c r="W1107" t="s">
        <v>2119</v>
      </c>
      <c r="X1107" s="1">
        <v>44404</v>
      </c>
      <c r="Y1107" t="s">
        <v>63</v>
      </c>
      <c r="Z1107">
        <v>76</v>
      </c>
      <c r="AA1107">
        <v>0</v>
      </c>
      <c r="AB1107">
        <v>0</v>
      </c>
      <c r="AC1107">
        <v>0</v>
      </c>
      <c r="AD1107">
        <v>76</v>
      </c>
      <c r="AE1107">
        <v>1492</v>
      </c>
      <c r="AF1107">
        <v>1636</v>
      </c>
      <c r="AG1107" t="s">
        <v>2110</v>
      </c>
      <c r="AH1107" t="s">
        <v>65</v>
      </c>
      <c r="AI1107" t="s">
        <v>65</v>
      </c>
      <c r="AJ1107" t="s">
        <v>66</v>
      </c>
      <c r="AK1107" t="s">
        <v>66</v>
      </c>
      <c r="AL1107" t="s">
        <v>66</v>
      </c>
      <c r="AM1107" s="2" t="str">
        <f>HYPERLINK("https://transparencia.cidesi.mx/comprobantes/2021/CQ2100553 /C3FACTURA_1627307422703_338327115.pdf")</f>
        <v>https://transparencia.cidesi.mx/comprobantes/2021/CQ2100553 /C3FACTURA_1627307422703_338327115.pdf</v>
      </c>
      <c r="AN1107" t="str">
        <f>HYPERLINK("https://transparencia.cidesi.mx/comprobantes/2021/CQ2100553 /C3FACTURA_1627307422703_338327115.pdf")</f>
        <v>https://transparencia.cidesi.mx/comprobantes/2021/CQ2100553 /C3FACTURA_1627307422703_338327115.pdf</v>
      </c>
      <c r="AO1107" t="str">
        <f>HYPERLINK("https://transparencia.cidesi.mx/comprobantes/2021/CQ2100553 /C3FACTURA_1627307432343_338327115.xml")</f>
        <v>https://transparencia.cidesi.mx/comprobantes/2021/CQ2100553 /C3FACTURA_1627307432343_338327115.xml</v>
      </c>
      <c r="AP1107" t="s">
        <v>2121</v>
      </c>
      <c r="AQ1107" t="s">
        <v>2111</v>
      </c>
      <c r="AR1107" t="s">
        <v>2111</v>
      </c>
      <c r="AS1107" t="s">
        <v>2111</v>
      </c>
      <c r="AT1107" s="1">
        <v>44405</v>
      </c>
      <c r="AU1107" s="1">
        <v>44424</v>
      </c>
    </row>
    <row r="1108" spans="1:47" x14ac:dyDescent="0.3">
      <c r="A1108" t="s">
        <v>47</v>
      </c>
      <c r="B1108" t="s">
        <v>224</v>
      </c>
      <c r="C1108" t="s">
        <v>225</v>
      </c>
      <c r="D1108">
        <v>100105</v>
      </c>
      <c r="E1108" t="s">
        <v>2105</v>
      </c>
      <c r="F1108" t="s">
        <v>248</v>
      </c>
      <c r="G1108" t="s">
        <v>2106</v>
      </c>
      <c r="H1108" t="s">
        <v>2118</v>
      </c>
      <c r="I1108" t="s">
        <v>54</v>
      </c>
      <c r="J1108" t="s">
        <v>2114</v>
      </c>
      <c r="K1108" t="s">
        <v>56</v>
      </c>
      <c r="L1108">
        <v>0</v>
      </c>
      <c r="M1108" t="s">
        <v>73</v>
      </c>
      <c r="N1108">
        <v>0</v>
      </c>
      <c r="O1108" t="s">
        <v>58</v>
      </c>
      <c r="P1108" t="s">
        <v>59</v>
      </c>
      <c r="Q1108" t="s">
        <v>216</v>
      </c>
      <c r="R1108" t="s">
        <v>2114</v>
      </c>
      <c r="S1108" s="1">
        <v>44399</v>
      </c>
      <c r="T1108" s="1">
        <v>44400</v>
      </c>
      <c r="U1108">
        <v>37501</v>
      </c>
      <c r="V1108" t="s">
        <v>61</v>
      </c>
      <c r="W1108" t="s">
        <v>2119</v>
      </c>
      <c r="X1108" s="1">
        <v>44404</v>
      </c>
      <c r="Y1108" t="s">
        <v>63</v>
      </c>
      <c r="Z1108">
        <v>427.59</v>
      </c>
      <c r="AA1108">
        <v>16</v>
      </c>
      <c r="AB1108">
        <v>68.41</v>
      </c>
      <c r="AC1108">
        <v>50</v>
      </c>
      <c r="AD1108">
        <v>546</v>
      </c>
      <c r="AE1108">
        <v>1492</v>
      </c>
      <c r="AF1108">
        <v>1636</v>
      </c>
      <c r="AG1108" t="s">
        <v>2110</v>
      </c>
      <c r="AH1108" t="s">
        <v>65</v>
      </c>
      <c r="AI1108" t="s">
        <v>65</v>
      </c>
      <c r="AJ1108" t="s">
        <v>66</v>
      </c>
      <c r="AK1108" t="s">
        <v>66</v>
      </c>
      <c r="AL1108" t="s">
        <v>66</v>
      </c>
      <c r="AM1108" s="2" t="str">
        <f>HYPERLINK("https://transparencia.cidesi.mx/comprobantes/2021/CQ2100553 /C4TAAC5505297IA_Factura__16530_AD843005-75FA-424E-A645-8950B1E15CB8.pdf")</f>
        <v>https://transparencia.cidesi.mx/comprobantes/2021/CQ2100553 /C4TAAC5505297IA_Factura__16530_AD843005-75FA-424E-A645-8950B1E15CB8.pdf</v>
      </c>
      <c r="AN1108" t="str">
        <f>HYPERLINK("https://transparencia.cidesi.mx/comprobantes/2021/CQ2100553 /C4TAAC5505297IA_Factura__16530_AD843005-75FA-424E-A645-8950B1E15CB8.pdf")</f>
        <v>https://transparencia.cidesi.mx/comprobantes/2021/CQ2100553 /C4TAAC5505297IA_Factura__16530_AD843005-75FA-424E-A645-8950B1E15CB8.pdf</v>
      </c>
      <c r="AO1108" t="str">
        <f>HYPERLINK("https://transparencia.cidesi.mx/comprobantes/2021/CQ2100553 /C4TAAC5505297IA_Factura__16530_AD843005-75FA-424E-A645-8950B1E15CB8.xml")</f>
        <v>https://transparencia.cidesi.mx/comprobantes/2021/CQ2100553 /C4TAAC5505297IA_Factura__16530_AD843005-75FA-424E-A645-8950B1E15CB8.xml</v>
      </c>
      <c r="AP1108" t="s">
        <v>2121</v>
      </c>
      <c r="AQ1108" t="s">
        <v>2111</v>
      </c>
      <c r="AR1108" t="s">
        <v>2111</v>
      </c>
      <c r="AS1108" t="s">
        <v>2111</v>
      </c>
      <c r="AT1108" s="1">
        <v>44405</v>
      </c>
      <c r="AU1108" s="1">
        <v>44424</v>
      </c>
    </row>
    <row r="1109" spans="1:47" x14ac:dyDescent="0.3">
      <c r="A1109" t="s">
        <v>47</v>
      </c>
      <c r="B1109" t="s">
        <v>224</v>
      </c>
      <c r="C1109" t="s">
        <v>225</v>
      </c>
      <c r="D1109">
        <v>100105</v>
      </c>
      <c r="E1109" t="s">
        <v>2105</v>
      </c>
      <c r="F1109" t="s">
        <v>248</v>
      </c>
      <c r="G1109" t="s">
        <v>2106</v>
      </c>
      <c r="H1109" t="s">
        <v>2122</v>
      </c>
      <c r="I1109" t="s">
        <v>54</v>
      </c>
      <c r="J1109" t="s">
        <v>2123</v>
      </c>
      <c r="K1109" t="s">
        <v>56</v>
      </c>
      <c r="L1109">
        <v>0</v>
      </c>
      <c r="M1109" t="s">
        <v>73</v>
      </c>
      <c r="N1109">
        <v>0</v>
      </c>
      <c r="O1109" t="s">
        <v>58</v>
      </c>
      <c r="P1109" t="s">
        <v>59</v>
      </c>
      <c r="Q1109" t="s">
        <v>252</v>
      </c>
      <c r="R1109" t="s">
        <v>2123</v>
      </c>
      <c r="S1109" s="1">
        <v>44405</v>
      </c>
      <c r="T1109" s="1">
        <v>44405</v>
      </c>
      <c r="U1109">
        <v>37501</v>
      </c>
      <c r="V1109" t="s">
        <v>61</v>
      </c>
      <c r="W1109" t="s">
        <v>2124</v>
      </c>
      <c r="X1109" s="1">
        <v>44406</v>
      </c>
      <c r="Y1109" t="s">
        <v>100</v>
      </c>
      <c r="Z1109">
        <v>330.17</v>
      </c>
      <c r="AA1109">
        <v>16</v>
      </c>
      <c r="AB1109">
        <v>52.83</v>
      </c>
      <c r="AC1109">
        <v>0</v>
      </c>
      <c r="AD1109">
        <v>383</v>
      </c>
      <c r="AE1109">
        <v>383</v>
      </c>
      <c r="AF1109">
        <v>545</v>
      </c>
      <c r="AG1109" t="s">
        <v>2110</v>
      </c>
      <c r="AH1109" t="s">
        <v>65</v>
      </c>
      <c r="AI1109" t="s">
        <v>65</v>
      </c>
      <c r="AJ1109" t="s">
        <v>66</v>
      </c>
      <c r="AK1109" t="s">
        <v>66</v>
      </c>
      <c r="AL1109" t="s">
        <v>66</v>
      </c>
      <c r="AM1109" s="2" t="str">
        <f>HYPERLINK("https://transparencia.cidesi.mx/comprobantes/2021/CQ2100569 /C1CID840309UG7FB0000019933.pdf")</f>
        <v>https://transparencia.cidesi.mx/comprobantes/2021/CQ2100569 /C1CID840309UG7FB0000019933.pdf</v>
      </c>
      <c r="AN1109" t="str">
        <f>HYPERLINK("https://transparencia.cidesi.mx/comprobantes/2021/CQ2100569 /C1CID840309UG7FB0000019933.pdf")</f>
        <v>https://transparencia.cidesi.mx/comprobantes/2021/CQ2100569 /C1CID840309UG7FB0000019933.pdf</v>
      </c>
      <c r="AO1109" t="str">
        <f>HYPERLINK("https://transparencia.cidesi.mx/comprobantes/2021/CQ2100569 /C1CID840309UG7FB0000019933.xml")</f>
        <v>https://transparencia.cidesi.mx/comprobantes/2021/CQ2100569 /C1CID840309UG7FB0000019933.xml</v>
      </c>
      <c r="AP1109" t="s">
        <v>2125</v>
      </c>
      <c r="AQ1109" t="s">
        <v>2126</v>
      </c>
      <c r="AR1109" t="s">
        <v>2126</v>
      </c>
      <c r="AS1109" t="s">
        <v>2126</v>
      </c>
      <c r="AT1109" s="1">
        <v>44410</v>
      </c>
      <c r="AU1109" t="s">
        <v>73</v>
      </c>
    </row>
    <row r="1110" spans="1:47" x14ac:dyDescent="0.3">
      <c r="A1110" t="s">
        <v>47</v>
      </c>
      <c r="B1110" t="s">
        <v>224</v>
      </c>
      <c r="C1110" t="s">
        <v>225</v>
      </c>
      <c r="D1110">
        <v>100105</v>
      </c>
      <c r="E1110" t="s">
        <v>2105</v>
      </c>
      <c r="F1110" t="s">
        <v>248</v>
      </c>
      <c r="G1110" t="s">
        <v>2106</v>
      </c>
      <c r="H1110" t="s">
        <v>2127</v>
      </c>
      <c r="I1110" t="s">
        <v>54</v>
      </c>
      <c r="J1110" t="s">
        <v>2128</v>
      </c>
      <c r="K1110" t="s">
        <v>56</v>
      </c>
      <c r="L1110">
        <v>0</v>
      </c>
      <c r="M1110" t="s">
        <v>73</v>
      </c>
      <c r="N1110">
        <v>0</v>
      </c>
      <c r="O1110" t="s">
        <v>58</v>
      </c>
      <c r="P1110" t="s">
        <v>59</v>
      </c>
      <c r="Q1110" t="s">
        <v>252</v>
      </c>
      <c r="R1110" t="s">
        <v>2128</v>
      </c>
      <c r="S1110" s="1">
        <v>44414</v>
      </c>
      <c r="T1110" s="1">
        <v>44414</v>
      </c>
      <c r="U1110">
        <v>37501</v>
      </c>
      <c r="V1110" t="s">
        <v>61</v>
      </c>
      <c r="W1110" t="s">
        <v>2129</v>
      </c>
      <c r="X1110" s="1">
        <v>44417</v>
      </c>
      <c r="Y1110" t="s">
        <v>63</v>
      </c>
      <c r="Z1110">
        <v>387.93</v>
      </c>
      <c r="AA1110">
        <v>16</v>
      </c>
      <c r="AB1110">
        <v>62.07</v>
      </c>
      <c r="AC1110">
        <v>45</v>
      </c>
      <c r="AD1110">
        <v>495</v>
      </c>
      <c r="AE1110">
        <v>495</v>
      </c>
      <c r="AF1110">
        <v>545</v>
      </c>
      <c r="AG1110" t="s">
        <v>2110</v>
      </c>
      <c r="AH1110" t="s">
        <v>65</v>
      </c>
      <c r="AI1110" t="s">
        <v>65</v>
      </c>
      <c r="AJ1110" t="s">
        <v>66</v>
      </c>
      <c r="AK1110" t="s">
        <v>66</v>
      </c>
      <c r="AL1110" t="s">
        <v>66</v>
      </c>
      <c r="AM1110" s="2" t="str">
        <f>HYPERLINK("https://transparencia.cidesi.mx/comprobantes/2021/CQ2100621 /C1GEX0108298K9FB0000089877.pdf")</f>
        <v>https://transparencia.cidesi.mx/comprobantes/2021/CQ2100621 /C1GEX0108298K9FB0000089877.pdf</v>
      </c>
      <c r="AN1110" t="str">
        <f>HYPERLINK("https://transparencia.cidesi.mx/comprobantes/2021/CQ2100621 /C1GEX0108298K9FB0000089877.pdf")</f>
        <v>https://transparencia.cidesi.mx/comprobantes/2021/CQ2100621 /C1GEX0108298K9FB0000089877.pdf</v>
      </c>
      <c r="AO1110" t="str">
        <f>HYPERLINK("https://transparencia.cidesi.mx/comprobantes/2021/CQ2100621 /C1GEX0108298K9FB0000089877.xml")</f>
        <v>https://transparencia.cidesi.mx/comprobantes/2021/CQ2100621 /C1GEX0108298K9FB0000089877.xml</v>
      </c>
      <c r="AP1110" t="s">
        <v>2130</v>
      </c>
      <c r="AQ1110" t="s">
        <v>2130</v>
      </c>
      <c r="AR1110" t="s">
        <v>2130</v>
      </c>
      <c r="AS1110" t="s">
        <v>2130</v>
      </c>
      <c r="AT1110" s="1">
        <v>44418</v>
      </c>
      <c r="AU1110" s="1">
        <v>44424</v>
      </c>
    </row>
    <row r="1111" spans="1:47" x14ac:dyDescent="0.3">
      <c r="A1111" t="s">
        <v>47</v>
      </c>
      <c r="B1111" t="s">
        <v>224</v>
      </c>
      <c r="C1111" t="s">
        <v>225</v>
      </c>
      <c r="D1111">
        <v>100105</v>
      </c>
      <c r="E1111" t="s">
        <v>2105</v>
      </c>
      <c r="F1111" t="s">
        <v>248</v>
      </c>
      <c r="G1111" t="s">
        <v>2106</v>
      </c>
      <c r="H1111" t="s">
        <v>2131</v>
      </c>
      <c r="I1111" t="s">
        <v>54</v>
      </c>
      <c r="J1111" t="s">
        <v>2132</v>
      </c>
      <c r="K1111" t="s">
        <v>56</v>
      </c>
      <c r="L1111">
        <v>0</v>
      </c>
      <c r="M1111" t="s">
        <v>73</v>
      </c>
      <c r="N1111">
        <v>0</v>
      </c>
      <c r="O1111" t="s">
        <v>58</v>
      </c>
      <c r="P1111" t="s">
        <v>59</v>
      </c>
      <c r="Q1111" t="s">
        <v>108</v>
      </c>
      <c r="R1111" t="s">
        <v>2132</v>
      </c>
      <c r="S1111" s="1">
        <v>44418</v>
      </c>
      <c r="T1111" s="1">
        <v>44421</v>
      </c>
      <c r="U1111">
        <v>37501</v>
      </c>
      <c r="V1111" t="s">
        <v>61</v>
      </c>
      <c r="W1111" t="s">
        <v>2133</v>
      </c>
      <c r="X1111" s="1">
        <v>44424</v>
      </c>
      <c r="Y1111" t="s">
        <v>63</v>
      </c>
      <c r="Z1111">
        <v>310.35000000000002</v>
      </c>
      <c r="AA1111">
        <v>16</v>
      </c>
      <c r="AB1111">
        <v>49.65</v>
      </c>
      <c r="AC1111">
        <v>36</v>
      </c>
      <c r="AD1111">
        <v>396</v>
      </c>
      <c r="AE1111">
        <v>1219</v>
      </c>
      <c r="AF1111">
        <v>3818</v>
      </c>
      <c r="AG1111" t="s">
        <v>2110</v>
      </c>
      <c r="AH1111" t="s">
        <v>65</v>
      </c>
      <c r="AI1111" t="s">
        <v>65</v>
      </c>
      <c r="AJ1111" t="s">
        <v>66</v>
      </c>
      <c r="AK1111" t="s">
        <v>66</v>
      </c>
      <c r="AL1111" t="s">
        <v>66</v>
      </c>
      <c r="AM1111" s="2" t="str">
        <f>HYPERLINK("https://transparencia.cidesi.mx/comprobantes/2021/CQ2100656 /C1GEX0108298K9FB0000090011.pdf")</f>
        <v>https://transparencia.cidesi.mx/comprobantes/2021/CQ2100656 /C1GEX0108298K9FB0000090011.pdf</v>
      </c>
      <c r="AN1111" t="str">
        <f>HYPERLINK("https://transparencia.cidesi.mx/comprobantes/2021/CQ2100656 /C1GEX0108298K9FB0000090011.pdf")</f>
        <v>https://transparencia.cidesi.mx/comprobantes/2021/CQ2100656 /C1GEX0108298K9FB0000090011.pdf</v>
      </c>
      <c r="AO1111" t="str">
        <f>HYPERLINK("https://transparencia.cidesi.mx/comprobantes/2021/CQ2100656 /C1GEX0108298K9FB0000090011.xml")</f>
        <v>https://transparencia.cidesi.mx/comprobantes/2021/CQ2100656 /C1GEX0108298K9FB0000090011.xml</v>
      </c>
      <c r="AP1111" t="s">
        <v>2134</v>
      </c>
      <c r="AQ1111" t="s">
        <v>2134</v>
      </c>
      <c r="AR1111" t="s">
        <v>2134</v>
      </c>
      <c r="AS1111" t="s">
        <v>2134</v>
      </c>
      <c r="AT1111" s="1">
        <v>44427</v>
      </c>
      <c r="AU1111" s="1">
        <v>44428</v>
      </c>
    </row>
    <row r="1112" spans="1:47" x14ac:dyDescent="0.3">
      <c r="A1112" t="s">
        <v>47</v>
      </c>
      <c r="B1112" t="s">
        <v>224</v>
      </c>
      <c r="C1112" t="s">
        <v>225</v>
      </c>
      <c r="D1112">
        <v>100105</v>
      </c>
      <c r="E1112" t="s">
        <v>2105</v>
      </c>
      <c r="F1112" t="s">
        <v>248</v>
      </c>
      <c r="G1112" t="s">
        <v>2106</v>
      </c>
      <c r="H1112" t="s">
        <v>2131</v>
      </c>
      <c r="I1112" t="s">
        <v>54</v>
      </c>
      <c r="J1112" t="s">
        <v>2132</v>
      </c>
      <c r="K1112" t="s">
        <v>56</v>
      </c>
      <c r="L1112">
        <v>0</v>
      </c>
      <c r="M1112" t="s">
        <v>73</v>
      </c>
      <c r="N1112">
        <v>0</v>
      </c>
      <c r="O1112" t="s">
        <v>58</v>
      </c>
      <c r="P1112" t="s">
        <v>59</v>
      </c>
      <c r="Q1112" t="s">
        <v>108</v>
      </c>
      <c r="R1112" t="s">
        <v>2132</v>
      </c>
      <c r="S1112" s="1">
        <v>44418</v>
      </c>
      <c r="T1112" s="1">
        <v>44421</v>
      </c>
      <c r="U1112">
        <v>37501</v>
      </c>
      <c r="V1112" t="s">
        <v>61</v>
      </c>
      <c r="W1112" t="s">
        <v>2133</v>
      </c>
      <c r="X1112" s="1">
        <v>44424</v>
      </c>
      <c r="Y1112" t="s">
        <v>63</v>
      </c>
      <c r="Z1112">
        <v>430.17</v>
      </c>
      <c r="AA1112">
        <v>16</v>
      </c>
      <c r="AB1112">
        <v>68.83</v>
      </c>
      <c r="AC1112">
        <v>50</v>
      </c>
      <c r="AD1112">
        <v>549</v>
      </c>
      <c r="AE1112">
        <v>1219</v>
      </c>
      <c r="AF1112">
        <v>3818</v>
      </c>
      <c r="AG1112" t="s">
        <v>2110</v>
      </c>
      <c r="AH1112" t="s">
        <v>65</v>
      </c>
      <c r="AI1112" t="s">
        <v>65</v>
      </c>
      <c r="AJ1112" t="s">
        <v>66</v>
      </c>
      <c r="AK1112" t="s">
        <v>66</v>
      </c>
      <c r="AL1112" t="s">
        <v>66</v>
      </c>
      <c r="AM1112" s="2" t="str">
        <f>HYPERLINK("https://transparencia.cidesi.mx/comprobantes/2021/CQ2100656 /C2GEX0108298K9FB0000090045.pdf")</f>
        <v>https://transparencia.cidesi.mx/comprobantes/2021/CQ2100656 /C2GEX0108298K9FB0000090045.pdf</v>
      </c>
      <c r="AN1112" t="str">
        <f>HYPERLINK("https://transparencia.cidesi.mx/comprobantes/2021/CQ2100656 /C2GEX0108298K9FB0000090045.pdf")</f>
        <v>https://transparencia.cidesi.mx/comprobantes/2021/CQ2100656 /C2GEX0108298K9FB0000090045.pdf</v>
      </c>
      <c r="AO1112" t="str">
        <f>HYPERLINK("https://transparencia.cidesi.mx/comprobantes/2021/CQ2100656 /C2GEX0108298K9FB0000090045.xml")</f>
        <v>https://transparencia.cidesi.mx/comprobantes/2021/CQ2100656 /C2GEX0108298K9FB0000090045.xml</v>
      </c>
      <c r="AP1112" t="s">
        <v>2134</v>
      </c>
      <c r="AQ1112" t="s">
        <v>2134</v>
      </c>
      <c r="AR1112" t="s">
        <v>2134</v>
      </c>
      <c r="AS1112" t="s">
        <v>2134</v>
      </c>
      <c r="AT1112" s="1">
        <v>44427</v>
      </c>
      <c r="AU1112" s="1">
        <v>44428</v>
      </c>
    </row>
    <row r="1113" spans="1:47" x14ac:dyDescent="0.3">
      <c r="A1113" t="s">
        <v>47</v>
      </c>
      <c r="B1113" t="s">
        <v>224</v>
      </c>
      <c r="C1113" t="s">
        <v>225</v>
      </c>
      <c r="D1113">
        <v>100105</v>
      </c>
      <c r="E1113" t="s">
        <v>2105</v>
      </c>
      <c r="F1113" t="s">
        <v>248</v>
      </c>
      <c r="G1113" t="s">
        <v>2106</v>
      </c>
      <c r="H1113" t="s">
        <v>2131</v>
      </c>
      <c r="I1113" t="s">
        <v>54</v>
      </c>
      <c r="J1113" t="s">
        <v>2132</v>
      </c>
      <c r="K1113" t="s">
        <v>56</v>
      </c>
      <c r="L1113">
        <v>0</v>
      </c>
      <c r="M1113" t="s">
        <v>73</v>
      </c>
      <c r="N1113">
        <v>0</v>
      </c>
      <c r="O1113" t="s">
        <v>58</v>
      </c>
      <c r="P1113" t="s">
        <v>59</v>
      </c>
      <c r="Q1113" t="s">
        <v>108</v>
      </c>
      <c r="R1113" t="s">
        <v>2132</v>
      </c>
      <c r="S1113" s="1">
        <v>44418</v>
      </c>
      <c r="T1113" s="1">
        <v>44421</v>
      </c>
      <c r="U1113">
        <v>37501</v>
      </c>
      <c r="V1113" t="s">
        <v>61</v>
      </c>
      <c r="W1113" t="s">
        <v>2133</v>
      </c>
      <c r="X1113" s="1">
        <v>44424</v>
      </c>
      <c r="Y1113" t="s">
        <v>63</v>
      </c>
      <c r="Z1113">
        <v>221.55</v>
      </c>
      <c r="AA1113">
        <v>16</v>
      </c>
      <c r="AB1113">
        <v>35.450000000000003</v>
      </c>
      <c r="AC1113">
        <v>0</v>
      </c>
      <c r="AD1113">
        <v>257</v>
      </c>
      <c r="AE1113">
        <v>1219</v>
      </c>
      <c r="AF1113">
        <v>3818</v>
      </c>
      <c r="AG1113" t="s">
        <v>2110</v>
      </c>
      <c r="AH1113" t="s">
        <v>65</v>
      </c>
      <c r="AI1113" t="s">
        <v>65</v>
      </c>
      <c r="AJ1113" t="s">
        <v>66</v>
      </c>
      <c r="AK1113" t="s">
        <v>66</v>
      </c>
      <c r="AL1113" t="s">
        <v>66</v>
      </c>
      <c r="AM1113" s="2" t="str">
        <f>HYPERLINK("https://transparencia.cidesi.mx/comprobantes/2021/CQ2100656 /C3JFO901024SX4_CID840309UG7_HX51386_A8FA81F2-D7A8-4440-A477-782024EE5C5E.pdf")</f>
        <v>https://transparencia.cidesi.mx/comprobantes/2021/CQ2100656 /C3JFO901024SX4_CID840309UG7_HX51386_A8FA81F2-D7A8-4440-A477-782024EE5C5E.pdf</v>
      </c>
      <c r="AN1113" t="str">
        <f>HYPERLINK("https://transparencia.cidesi.mx/comprobantes/2021/CQ2100656 /C3JFO901024SX4_CID840309UG7_HX51386_A8FA81F2-D7A8-4440-A477-782024EE5C5E.pdf")</f>
        <v>https://transparencia.cidesi.mx/comprobantes/2021/CQ2100656 /C3JFO901024SX4_CID840309UG7_HX51386_A8FA81F2-D7A8-4440-A477-782024EE5C5E.pdf</v>
      </c>
      <c r="AO1113" t="str">
        <f>HYPERLINK("https://transparencia.cidesi.mx/comprobantes/2021/CQ2100656 /C3JFO901024SX4_CID840309UG7_HX51386_A8FA81F2-D7A8-4440-A477-782024EE5C5E.xml")</f>
        <v>https://transparencia.cidesi.mx/comprobantes/2021/CQ2100656 /C3JFO901024SX4_CID840309UG7_HX51386_A8FA81F2-D7A8-4440-A477-782024EE5C5E.xml</v>
      </c>
      <c r="AP1113" t="s">
        <v>2134</v>
      </c>
      <c r="AQ1113" t="s">
        <v>2134</v>
      </c>
      <c r="AR1113" t="s">
        <v>2134</v>
      </c>
      <c r="AS1113" t="s">
        <v>2134</v>
      </c>
      <c r="AT1113" s="1">
        <v>44427</v>
      </c>
      <c r="AU1113" s="1">
        <v>44428</v>
      </c>
    </row>
    <row r="1114" spans="1:47" x14ac:dyDescent="0.3">
      <c r="A1114" t="s">
        <v>47</v>
      </c>
      <c r="B1114" t="s">
        <v>224</v>
      </c>
      <c r="C1114" t="s">
        <v>225</v>
      </c>
      <c r="D1114">
        <v>100105</v>
      </c>
      <c r="E1114" t="s">
        <v>2105</v>
      </c>
      <c r="F1114" t="s">
        <v>248</v>
      </c>
      <c r="G1114" t="s">
        <v>2106</v>
      </c>
      <c r="H1114" t="s">
        <v>2131</v>
      </c>
      <c r="I1114" t="s">
        <v>54</v>
      </c>
      <c r="J1114" t="s">
        <v>2132</v>
      </c>
      <c r="K1114" t="s">
        <v>56</v>
      </c>
      <c r="L1114">
        <v>0</v>
      </c>
      <c r="M1114" t="s">
        <v>73</v>
      </c>
      <c r="N1114">
        <v>0</v>
      </c>
      <c r="O1114" t="s">
        <v>58</v>
      </c>
      <c r="P1114" t="s">
        <v>59</v>
      </c>
      <c r="Q1114" t="s">
        <v>108</v>
      </c>
      <c r="R1114" t="s">
        <v>2132</v>
      </c>
      <c r="S1114" s="1">
        <v>44418</v>
      </c>
      <c r="T1114" s="1">
        <v>44421</v>
      </c>
      <c r="U1114">
        <v>37501</v>
      </c>
      <c r="V1114" t="s">
        <v>94</v>
      </c>
      <c r="W1114" t="s">
        <v>2133</v>
      </c>
      <c r="X1114" s="1">
        <v>44424</v>
      </c>
      <c r="Y1114" t="s">
        <v>63</v>
      </c>
      <c r="Z1114">
        <v>14.66</v>
      </c>
      <c r="AA1114">
        <v>16</v>
      </c>
      <c r="AB1114">
        <v>2.34</v>
      </c>
      <c r="AC1114">
        <v>0</v>
      </c>
      <c r="AD1114">
        <v>17</v>
      </c>
      <c r="AE1114">
        <v>1219</v>
      </c>
      <c r="AF1114">
        <v>3818</v>
      </c>
      <c r="AG1114" t="s">
        <v>2135</v>
      </c>
      <c r="AH1114" t="s">
        <v>66</v>
      </c>
      <c r="AI1114" t="s">
        <v>65</v>
      </c>
      <c r="AJ1114" t="s">
        <v>66</v>
      </c>
      <c r="AK1114" t="s">
        <v>66</v>
      </c>
      <c r="AL1114" t="s">
        <v>66</v>
      </c>
      <c r="AM1114" s="2" t="str">
        <f>HYPERLINK("https://transparencia.cidesi.mx/comprobantes/2021/CQ2100656 /C4AMS050630CN3_FacturaV1183869.pdf")</f>
        <v>https://transparencia.cidesi.mx/comprobantes/2021/CQ2100656 /C4AMS050630CN3_FacturaV1183869.pdf</v>
      </c>
      <c r="AN1114" t="str">
        <f>HYPERLINK("https://transparencia.cidesi.mx/comprobantes/2021/CQ2100656 /C4AMS050630CN3_FacturaV1183869.pdf")</f>
        <v>https://transparencia.cidesi.mx/comprobantes/2021/CQ2100656 /C4AMS050630CN3_FacturaV1183869.pdf</v>
      </c>
      <c r="AO1114" t="str">
        <f>HYPERLINK("https://transparencia.cidesi.mx/comprobantes/2021/CQ2100656 /C4AMS050630CN3_factura_V1183869.xml")</f>
        <v>https://transparencia.cidesi.mx/comprobantes/2021/CQ2100656 /C4AMS050630CN3_factura_V1183869.xml</v>
      </c>
      <c r="AP1114" t="s">
        <v>2134</v>
      </c>
      <c r="AQ1114" t="s">
        <v>2134</v>
      </c>
      <c r="AR1114" t="s">
        <v>2134</v>
      </c>
      <c r="AS1114" t="s">
        <v>2134</v>
      </c>
      <c r="AT1114" s="1">
        <v>44427</v>
      </c>
      <c r="AU1114" s="1">
        <v>44428</v>
      </c>
    </row>
    <row r="1115" spans="1:47" x14ac:dyDescent="0.3">
      <c r="A1115" t="s">
        <v>47</v>
      </c>
      <c r="B1115" t="s">
        <v>224</v>
      </c>
      <c r="C1115" t="s">
        <v>225</v>
      </c>
      <c r="D1115">
        <v>100105</v>
      </c>
      <c r="E1115" t="s">
        <v>2105</v>
      </c>
      <c r="F1115" t="s">
        <v>248</v>
      </c>
      <c r="G1115" t="s">
        <v>2106</v>
      </c>
      <c r="H1115" t="s">
        <v>2136</v>
      </c>
      <c r="I1115" t="s">
        <v>54</v>
      </c>
      <c r="J1115" t="s">
        <v>2137</v>
      </c>
      <c r="K1115" t="s">
        <v>56</v>
      </c>
      <c r="L1115">
        <v>0</v>
      </c>
      <c r="M1115" t="s">
        <v>73</v>
      </c>
      <c r="N1115">
        <v>0</v>
      </c>
      <c r="O1115" t="s">
        <v>58</v>
      </c>
      <c r="P1115" t="s">
        <v>59</v>
      </c>
      <c r="Q1115" t="s">
        <v>1284</v>
      </c>
      <c r="R1115" t="s">
        <v>2137</v>
      </c>
      <c r="S1115" s="1">
        <v>44452</v>
      </c>
      <c r="T1115" s="1">
        <v>44452</v>
      </c>
      <c r="U1115">
        <v>37501</v>
      </c>
      <c r="V1115" t="s">
        <v>61</v>
      </c>
      <c r="W1115" t="s">
        <v>2138</v>
      </c>
      <c r="X1115" s="1">
        <v>44454</v>
      </c>
      <c r="Y1115" t="s">
        <v>63</v>
      </c>
      <c r="Z1115">
        <v>396.55</v>
      </c>
      <c r="AA1115">
        <v>16</v>
      </c>
      <c r="AB1115">
        <v>63.45</v>
      </c>
      <c r="AC1115">
        <v>0</v>
      </c>
      <c r="AD1115">
        <v>460</v>
      </c>
      <c r="AE1115">
        <v>460</v>
      </c>
      <c r="AF1115">
        <v>545</v>
      </c>
      <c r="AG1115" t="s">
        <v>2110</v>
      </c>
      <c r="AH1115" t="s">
        <v>65</v>
      </c>
      <c r="AI1115" t="s">
        <v>65</v>
      </c>
      <c r="AJ1115" t="s">
        <v>66</v>
      </c>
      <c r="AK1115" t="s">
        <v>66</v>
      </c>
      <c r="AL1115" t="s">
        <v>66</v>
      </c>
      <c r="AM1115" s="2" t="str">
        <f>HYPERLINK("https://transparencia.cidesi.mx/comprobantes/2021/CQ2100810 /C1CID840309UG7FF0000006389.pdf")</f>
        <v>https://transparencia.cidesi.mx/comprobantes/2021/CQ2100810 /C1CID840309UG7FF0000006389.pdf</v>
      </c>
      <c r="AN1115" t="str">
        <f>HYPERLINK("https://transparencia.cidesi.mx/comprobantes/2021/CQ2100810 /C1CID840309UG7FF0000006389.pdf")</f>
        <v>https://transparencia.cidesi.mx/comprobantes/2021/CQ2100810 /C1CID840309UG7FF0000006389.pdf</v>
      </c>
      <c r="AO1115" t="str">
        <f>HYPERLINK("https://transparencia.cidesi.mx/comprobantes/2021/CQ2100810 /C1CID840309UG7FF0000006389.xml")</f>
        <v>https://transparencia.cidesi.mx/comprobantes/2021/CQ2100810 /C1CID840309UG7FF0000006389.xml</v>
      </c>
      <c r="AP1115" t="s">
        <v>2139</v>
      </c>
      <c r="AQ1115" t="s">
        <v>2139</v>
      </c>
      <c r="AR1115" t="s">
        <v>2139</v>
      </c>
      <c r="AS1115" t="s">
        <v>2139</v>
      </c>
      <c r="AT1115" s="1">
        <v>44454</v>
      </c>
      <c r="AU1115" s="1">
        <v>44470</v>
      </c>
    </row>
    <row r="1116" spans="1:47" x14ac:dyDescent="0.3">
      <c r="A1116" t="s">
        <v>47</v>
      </c>
      <c r="B1116" t="s">
        <v>224</v>
      </c>
      <c r="C1116" t="s">
        <v>225</v>
      </c>
      <c r="D1116">
        <v>100105</v>
      </c>
      <c r="E1116" t="s">
        <v>2105</v>
      </c>
      <c r="F1116" t="s">
        <v>248</v>
      </c>
      <c r="G1116" t="s">
        <v>2106</v>
      </c>
      <c r="H1116" t="s">
        <v>2140</v>
      </c>
      <c r="I1116" t="s">
        <v>54</v>
      </c>
      <c r="J1116" t="s">
        <v>2137</v>
      </c>
      <c r="K1116" t="s">
        <v>56</v>
      </c>
      <c r="L1116">
        <v>0</v>
      </c>
      <c r="M1116" t="s">
        <v>73</v>
      </c>
      <c r="N1116">
        <v>0</v>
      </c>
      <c r="O1116" t="s">
        <v>58</v>
      </c>
      <c r="P1116" t="s">
        <v>59</v>
      </c>
      <c r="Q1116" t="s">
        <v>1284</v>
      </c>
      <c r="R1116" t="s">
        <v>2137</v>
      </c>
      <c r="S1116" s="1">
        <v>44453</v>
      </c>
      <c r="T1116" s="1">
        <v>44453</v>
      </c>
      <c r="U1116">
        <v>37501</v>
      </c>
      <c r="V1116" t="s">
        <v>61</v>
      </c>
      <c r="W1116" t="s">
        <v>2141</v>
      </c>
      <c r="X1116" s="1">
        <v>44454</v>
      </c>
      <c r="Y1116" t="s">
        <v>63</v>
      </c>
      <c r="Z1116">
        <v>295.47000000000003</v>
      </c>
      <c r="AA1116">
        <v>16</v>
      </c>
      <c r="AB1116">
        <v>47.28</v>
      </c>
      <c r="AC1116">
        <v>0</v>
      </c>
      <c r="AD1116">
        <v>342.75</v>
      </c>
      <c r="AE1116">
        <v>371.75</v>
      </c>
      <c r="AF1116">
        <v>545</v>
      </c>
      <c r="AG1116" t="s">
        <v>2110</v>
      </c>
      <c r="AH1116" t="s">
        <v>65</v>
      </c>
      <c r="AI1116" t="s">
        <v>65</v>
      </c>
      <c r="AJ1116" t="s">
        <v>66</v>
      </c>
      <c r="AK1116" t="s">
        <v>66</v>
      </c>
      <c r="AL1116" t="s">
        <v>66</v>
      </c>
      <c r="AM1116" s="2" t="str">
        <f>HYPERLINK("https://transparencia.cidesi.mx/comprobantes/2021/CQ2100811 /C1FACTURAA24533.pdf")</f>
        <v>https://transparencia.cidesi.mx/comprobantes/2021/CQ2100811 /C1FACTURAA24533.pdf</v>
      </c>
      <c r="AN1116" t="str">
        <f>HYPERLINK("https://transparencia.cidesi.mx/comprobantes/2021/CQ2100811 /C1FACTURAA24533.pdf")</f>
        <v>https://transparencia.cidesi.mx/comprobantes/2021/CQ2100811 /C1FACTURAA24533.pdf</v>
      </c>
      <c r="AO1116" t="str">
        <f>HYPERLINK("https://transparencia.cidesi.mx/comprobantes/2021/CQ2100811 /C1FACTURAA24533.xml")</f>
        <v>https://transparencia.cidesi.mx/comprobantes/2021/CQ2100811 /C1FACTURAA24533.xml</v>
      </c>
      <c r="AP1116" t="s">
        <v>2139</v>
      </c>
      <c r="AQ1116" t="s">
        <v>2139</v>
      </c>
      <c r="AR1116" t="s">
        <v>2139</v>
      </c>
      <c r="AS1116" t="s">
        <v>2139</v>
      </c>
      <c r="AT1116" s="1">
        <v>44454</v>
      </c>
      <c r="AU1116" s="1">
        <v>44470</v>
      </c>
    </row>
    <row r="1117" spans="1:47" x14ac:dyDescent="0.3">
      <c r="A1117" t="s">
        <v>47</v>
      </c>
      <c r="B1117" t="s">
        <v>224</v>
      </c>
      <c r="C1117" t="s">
        <v>225</v>
      </c>
      <c r="D1117">
        <v>100105</v>
      </c>
      <c r="E1117" t="s">
        <v>2105</v>
      </c>
      <c r="F1117" t="s">
        <v>248</v>
      </c>
      <c r="G1117" t="s">
        <v>2106</v>
      </c>
      <c r="H1117" t="s">
        <v>2140</v>
      </c>
      <c r="I1117" t="s">
        <v>54</v>
      </c>
      <c r="J1117" t="s">
        <v>2137</v>
      </c>
      <c r="K1117" t="s">
        <v>56</v>
      </c>
      <c r="L1117">
        <v>0</v>
      </c>
      <c r="M1117" t="s">
        <v>73</v>
      </c>
      <c r="N1117">
        <v>0</v>
      </c>
      <c r="O1117" t="s">
        <v>58</v>
      </c>
      <c r="P1117" t="s">
        <v>59</v>
      </c>
      <c r="Q1117" t="s">
        <v>1284</v>
      </c>
      <c r="R1117" t="s">
        <v>2137</v>
      </c>
      <c r="S1117" s="1">
        <v>44453</v>
      </c>
      <c r="T1117" s="1">
        <v>44453</v>
      </c>
      <c r="U1117">
        <v>37501</v>
      </c>
      <c r="V1117" t="s">
        <v>61</v>
      </c>
      <c r="W1117" t="s">
        <v>2141</v>
      </c>
      <c r="X1117" s="1">
        <v>44454</v>
      </c>
      <c r="Y1117" t="s">
        <v>63</v>
      </c>
      <c r="Z1117">
        <v>29</v>
      </c>
      <c r="AA1117">
        <v>0</v>
      </c>
      <c r="AB1117">
        <v>0</v>
      </c>
      <c r="AC1117">
        <v>0</v>
      </c>
      <c r="AD1117">
        <v>29</v>
      </c>
      <c r="AE1117">
        <v>371.75</v>
      </c>
      <c r="AF1117">
        <v>545</v>
      </c>
      <c r="AG1117" t="s">
        <v>2110</v>
      </c>
      <c r="AH1117" t="s">
        <v>65</v>
      </c>
      <c r="AI1117" t="s">
        <v>65</v>
      </c>
      <c r="AJ1117" t="s">
        <v>66</v>
      </c>
      <c r="AK1117" t="s">
        <v>66</v>
      </c>
      <c r="AL1117" t="s">
        <v>66</v>
      </c>
      <c r="AM1117" s="2" t="str">
        <f>HYPERLINK("https://transparencia.cidesi.mx/comprobantes/2021/CQ2100811 /C2FACTURA_1631713603738_344780539.pdf")</f>
        <v>https://transparencia.cidesi.mx/comprobantes/2021/CQ2100811 /C2FACTURA_1631713603738_344780539.pdf</v>
      </c>
      <c r="AN1117" t="str">
        <f>HYPERLINK("https://transparencia.cidesi.mx/comprobantes/2021/CQ2100811 /C2FACTURA_1631713603738_344780539.pdf")</f>
        <v>https://transparencia.cidesi.mx/comprobantes/2021/CQ2100811 /C2FACTURA_1631713603738_344780539.pdf</v>
      </c>
      <c r="AO1117" t="str">
        <f>HYPERLINK("https://transparencia.cidesi.mx/comprobantes/2021/CQ2100811 /C2FACTURA_1631713618378_344780539.xml")</f>
        <v>https://transparencia.cidesi.mx/comprobantes/2021/CQ2100811 /C2FACTURA_1631713618378_344780539.xml</v>
      </c>
      <c r="AP1117" t="s">
        <v>2139</v>
      </c>
      <c r="AQ1117" t="s">
        <v>2139</v>
      </c>
      <c r="AR1117" t="s">
        <v>2139</v>
      </c>
      <c r="AS1117" t="s">
        <v>2139</v>
      </c>
      <c r="AT1117" s="1">
        <v>44454</v>
      </c>
      <c r="AU1117" s="1">
        <v>44470</v>
      </c>
    </row>
    <row r="1118" spans="1:47" x14ac:dyDescent="0.3">
      <c r="A1118" t="s">
        <v>47</v>
      </c>
      <c r="B1118" t="s">
        <v>224</v>
      </c>
      <c r="C1118" t="s">
        <v>225</v>
      </c>
      <c r="D1118">
        <v>100105</v>
      </c>
      <c r="E1118" t="s">
        <v>2105</v>
      </c>
      <c r="F1118" t="s">
        <v>248</v>
      </c>
      <c r="G1118" t="s">
        <v>2106</v>
      </c>
      <c r="H1118" t="s">
        <v>2142</v>
      </c>
      <c r="I1118" t="s">
        <v>54</v>
      </c>
      <c r="J1118" t="s">
        <v>2137</v>
      </c>
      <c r="K1118" t="s">
        <v>56</v>
      </c>
      <c r="L1118">
        <v>0</v>
      </c>
      <c r="M1118" t="s">
        <v>73</v>
      </c>
      <c r="N1118">
        <v>0</v>
      </c>
      <c r="O1118" t="s">
        <v>58</v>
      </c>
      <c r="P1118" t="s">
        <v>59</v>
      </c>
      <c r="Q1118" t="s">
        <v>1284</v>
      </c>
      <c r="R1118" t="s">
        <v>2137</v>
      </c>
      <c r="S1118" s="1">
        <v>44456</v>
      </c>
      <c r="T1118" s="1">
        <v>44456</v>
      </c>
      <c r="U1118">
        <v>37501</v>
      </c>
      <c r="V1118" t="s">
        <v>61</v>
      </c>
      <c r="W1118" t="s">
        <v>2143</v>
      </c>
      <c r="X1118" s="1">
        <v>44459</v>
      </c>
      <c r="Y1118" t="s">
        <v>63</v>
      </c>
      <c r="Z1118">
        <v>406.9</v>
      </c>
      <c r="AA1118">
        <v>16</v>
      </c>
      <c r="AB1118">
        <v>65.099999999999994</v>
      </c>
      <c r="AC1118">
        <v>0</v>
      </c>
      <c r="AD1118">
        <v>472</v>
      </c>
      <c r="AE1118">
        <v>472</v>
      </c>
      <c r="AF1118">
        <v>545</v>
      </c>
      <c r="AG1118" t="s">
        <v>2110</v>
      </c>
      <c r="AH1118" t="s">
        <v>65</v>
      </c>
      <c r="AI1118" t="s">
        <v>65</v>
      </c>
      <c r="AJ1118" t="s">
        <v>66</v>
      </c>
      <c r="AK1118" t="s">
        <v>66</v>
      </c>
      <c r="AL1118" t="s">
        <v>66</v>
      </c>
      <c r="AM1118" s="2" t="str">
        <f>HYPERLINK("https://transparencia.cidesi.mx/comprobantes/2021/CQ2100832 /C1CID840309UG7FF0000006409.pdf")</f>
        <v>https://transparencia.cidesi.mx/comprobantes/2021/CQ2100832 /C1CID840309UG7FF0000006409.pdf</v>
      </c>
      <c r="AN1118" t="str">
        <f>HYPERLINK("https://transparencia.cidesi.mx/comprobantes/2021/CQ2100832 /C1CID840309UG7FF0000006409.pdf")</f>
        <v>https://transparencia.cidesi.mx/comprobantes/2021/CQ2100832 /C1CID840309UG7FF0000006409.pdf</v>
      </c>
      <c r="AO1118" t="str">
        <f>HYPERLINK("https://transparencia.cidesi.mx/comprobantes/2021/CQ2100832 /C1CID840309UG7FF0000006409.xml")</f>
        <v>https://transparencia.cidesi.mx/comprobantes/2021/CQ2100832 /C1CID840309UG7FF0000006409.xml</v>
      </c>
      <c r="AP1118" t="s">
        <v>2144</v>
      </c>
      <c r="AQ1118" t="s">
        <v>2145</v>
      </c>
      <c r="AR1118" t="s">
        <v>2145</v>
      </c>
      <c r="AS1118" t="s">
        <v>2145</v>
      </c>
      <c r="AT1118" s="1">
        <v>44462</v>
      </c>
      <c r="AU1118" s="1">
        <v>44473</v>
      </c>
    </row>
    <row r="1119" spans="1:47" x14ac:dyDescent="0.3">
      <c r="A1119" t="s">
        <v>47</v>
      </c>
      <c r="B1119" t="s">
        <v>224</v>
      </c>
      <c r="C1119" t="s">
        <v>225</v>
      </c>
      <c r="D1119">
        <v>100105</v>
      </c>
      <c r="E1119" t="s">
        <v>2105</v>
      </c>
      <c r="F1119" t="s">
        <v>248</v>
      </c>
      <c r="G1119" t="s">
        <v>2106</v>
      </c>
      <c r="H1119" t="s">
        <v>2146</v>
      </c>
      <c r="I1119" t="s">
        <v>54</v>
      </c>
      <c r="J1119" t="s">
        <v>2147</v>
      </c>
      <c r="K1119" t="s">
        <v>56</v>
      </c>
      <c r="L1119">
        <v>0</v>
      </c>
      <c r="M1119" t="s">
        <v>73</v>
      </c>
      <c r="N1119">
        <v>0</v>
      </c>
      <c r="O1119" t="s">
        <v>58</v>
      </c>
      <c r="P1119" t="s">
        <v>59</v>
      </c>
      <c r="Q1119" t="s">
        <v>1284</v>
      </c>
      <c r="R1119" t="s">
        <v>2147</v>
      </c>
      <c r="S1119" s="1">
        <v>44459</v>
      </c>
      <c r="T1119" s="1">
        <v>44459</v>
      </c>
      <c r="U1119">
        <v>37501</v>
      </c>
      <c r="V1119" t="s">
        <v>61</v>
      </c>
      <c r="W1119" t="s">
        <v>2148</v>
      </c>
      <c r="X1119" s="1">
        <v>44460</v>
      </c>
      <c r="Y1119" t="s">
        <v>63</v>
      </c>
      <c r="Z1119">
        <v>338.79</v>
      </c>
      <c r="AA1119">
        <v>16</v>
      </c>
      <c r="AB1119">
        <v>54.21</v>
      </c>
      <c r="AC1119">
        <v>39</v>
      </c>
      <c r="AD1119">
        <v>432</v>
      </c>
      <c r="AE1119">
        <v>432</v>
      </c>
      <c r="AF1119">
        <v>545</v>
      </c>
      <c r="AG1119" t="s">
        <v>2110</v>
      </c>
      <c r="AH1119" t="s">
        <v>65</v>
      </c>
      <c r="AI1119" t="s">
        <v>65</v>
      </c>
      <c r="AJ1119" t="s">
        <v>66</v>
      </c>
      <c r="AK1119" t="s">
        <v>66</v>
      </c>
      <c r="AL1119" t="s">
        <v>66</v>
      </c>
      <c r="AM1119" s="2" t="str">
        <f>HYPERLINK("https://transparencia.cidesi.mx/comprobantes/2021/CQ2100854 /C1GEX0108298K9FB0000091509.pdf")</f>
        <v>https://transparencia.cidesi.mx/comprobantes/2021/CQ2100854 /C1GEX0108298K9FB0000091509.pdf</v>
      </c>
      <c r="AN1119" t="str">
        <f>HYPERLINK("https://transparencia.cidesi.mx/comprobantes/2021/CQ2100854 /C1GEX0108298K9FB0000091509.pdf")</f>
        <v>https://transparencia.cidesi.mx/comprobantes/2021/CQ2100854 /C1GEX0108298K9FB0000091509.pdf</v>
      </c>
      <c r="AO1119" t="str">
        <f>HYPERLINK("https://transparencia.cidesi.mx/comprobantes/2021/CQ2100854 /C1GEX0108298K9FB0000091509.xml")</f>
        <v>https://transparencia.cidesi.mx/comprobantes/2021/CQ2100854 /C1GEX0108298K9FB0000091509.xml</v>
      </c>
      <c r="AP1119" t="s">
        <v>2139</v>
      </c>
      <c r="AQ1119" t="s">
        <v>2145</v>
      </c>
      <c r="AR1119" t="s">
        <v>2145</v>
      </c>
      <c r="AS1119" t="s">
        <v>2145</v>
      </c>
      <c r="AT1119" s="1">
        <v>44462</v>
      </c>
      <c r="AU1119" s="1">
        <v>44473</v>
      </c>
    </row>
    <row r="1120" spans="1:47" x14ac:dyDescent="0.3">
      <c r="A1120" t="s">
        <v>47</v>
      </c>
      <c r="B1120" t="s">
        <v>224</v>
      </c>
      <c r="C1120" t="s">
        <v>225</v>
      </c>
      <c r="D1120">
        <v>100105</v>
      </c>
      <c r="E1120" t="s">
        <v>2105</v>
      </c>
      <c r="F1120" t="s">
        <v>248</v>
      </c>
      <c r="G1120" t="s">
        <v>2106</v>
      </c>
      <c r="H1120" t="s">
        <v>2149</v>
      </c>
      <c r="I1120" t="s">
        <v>54</v>
      </c>
      <c r="J1120" t="s">
        <v>2150</v>
      </c>
      <c r="K1120" t="s">
        <v>56</v>
      </c>
      <c r="L1120">
        <v>0</v>
      </c>
      <c r="M1120" t="s">
        <v>73</v>
      </c>
      <c r="N1120">
        <v>0</v>
      </c>
      <c r="O1120" t="s">
        <v>58</v>
      </c>
      <c r="P1120" t="s">
        <v>59</v>
      </c>
      <c r="Q1120" t="s">
        <v>1284</v>
      </c>
      <c r="R1120" t="s">
        <v>2150</v>
      </c>
      <c r="S1120" s="1">
        <v>44460</v>
      </c>
      <c r="T1120" s="1">
        <v>44460</v>
      </c>
      <c r="U1120">
        <v>37501</v>
      </c>
      <c r="V1120" t="s">
        <v>61</v>
      </c>
      <c r="W1120" t="s">
        <v>2151</v>
      </c>
      <c r="X1120" s="1">
        <v>44461</v>
      </c>
      <c r="Y1120" t="s">
        <v>63</v>
      </c>
      <c r="Z1120">
        <v>194.83</v>
      </c>
      <c r="AA1120">
        <v>16</v>
      </c>
      <c r="AB1120">
        <v>31.17</v>
      </c>
      <c r="AC1120">
        <v>0</v>
      </c>
      <c r="AD1120">
        <v>226</v>
      </c>
      <c r="AE1120">
        <v>226</v>
      </c>
      <c r="AF1120">
        <v>545</v>
      </c>
      <c r="AG1120" t="s">
        <v>2110</v>
      </c>
      <c r="AH1120" t="s">
        <v>65</v>
      </c>
      <c r="AI1120" t="s">
        <v>65</v>
      </c>
      <c r="AJ1120" t="s">
        <v>66</v>
      </c>
      <c r="AK1120" t="s">
        <v>66</v>
      </c>
      <c r="AL1120" t="s">
        <v>66</v>
      </c>
      <c r="AM1120" s="2" t="str">
        <f>HYPERLINK("https://transparencia.cidesi.mx/comprobantes/2021/CQ2100864 /C1RUFM731208CB3FFM3980.pdf")</f>
        <v>https://transparencia.cidesi.mx/comprobantes/2021/CQ2100864 /C1RUFM731208CB3FFM3980.pdf</v>
      </c>
      <c r="AN1120" t="str">
        <f>HYPERLINK("https://transparencia.cidesi.mx/comprobantes/2021/CQ2100864 /C1RUFM731208CB3FFM3980.pdf")</f>
        <v>https://transparencia.cidesi.mx/comprobantes/2021/CQ2100864 /C1RUFM731208CB3FFM3980.pdf</v>
      </c>
      <c r="AO1120" t="str">
        <f>HYPERLINK("https://transparencia.cidesi.mx/comprobantes/2021/CQ2100864 /C1RUFM731208CB3FFM3980.xml")</f>
        <v>https://transparencia.cidesi.mx/comprobantes/2021/CQ2100864 /C1RUFM731208CB3FFM3980.xml</v>
      </c>
      <c r="AP1120" t="s">
        <v>2139</v>
      </c>
      <c r="AQ1120" t="s">
        <v>2145</v>
      </c>
      <c r="AR1120" t="s">
        <v>2145</v>
      </c>
      <c r="AS1120" t="s">
        <v>2145</v>
      </c>
      <c r="AT1120" s="1">
        <v>44462</v>
      </c>
      <c r="AU1120" s="1">
        <v>44473</v>
      </c>
    </row>
    <row r="1121" spans="1:47" x14ac:dyDescent="0.3">
      <c r="A1121" t="s">
        <v>47</v>
      </c>
      <c r="B1121" t="s">
        <v>224</v>
      </c>
      <c r="C1121" t="s">
        <v>225</v>
      </c>
      <c r="D1121">
        <v>100105</v>
      </c>
      <c r="E1121" t="s">
        <v>2105</v>
      </c>
      <c r="F1121" t="s">
        <v>248</v>
      </c>
      <c r="G1121" t="s">
        <v>2106</v>
      </c>
      <c r="H1121" t="s">
        <v>2152</v>
      </c>
      <c r="I1121" t="s">
        <v>54</v>
      </c>
      <c r="J1121" t="s">
        <v>2137</v>
      </c>
      <c r="K1121" t="s">
        <v>56</v>
      </c>
      <c r="L1121">
        <v>0</v>
      </c>
      <c r="M1121" t="s">
        <v>73</v>
      </c>
      <c r="N1121">
        <v>0</v>
      </c>
      <c r="O1121" t="s">
        <v>58</v>
      </c>
      <c r="P1121" t="s">
        <v>59</v>
      </c>
      <c r="Q1121" t="s">
        <v>1284</v>
      </c>
      <c r="R1121" t="s">
        <v>2137</v>
      </c>
      <c r="S1121" s="1">
        <v>44461</v>
      </c>
      <c r="T1121" s="1">
        <v>44461</v>
      </c>
      <c r="U1121">
        <v>37501</v>
      </c>
      <c r="V1121" t="s">
        <v>61</v>
      </c>
      <c r="W1121" t="s">
        <v>2153</v>
      </c>
      <c r="X1121" s="1">
        <v>44462</v>
      </c>
      <c r="Y1121" t="s">
        <v>63</v>
      </c>
      <c r="Z1121">
        <v>318.97000000000003</v>
      </c>
      <c r="AA1121">
        <v>16</v>
      </c>
      <c r="AB1121">
        <v>51.03</v>
      </c>
      <c r="AC1121">
        <v>0</v>
      </c>
      <c r="AD1121">
        <v>370</v>
      </c>
      <c r="AE1121">
        <v>370</v>
      </c>
      <c r="AF1121">
        <v>545</v>
      </c>
      <c r="AG1121" t="s">
        <v>2110</v>
      </c>
      <c r="AH1121" t="s">
        <v>65</v>
      </c>
      <c r="AI1121" t="s">
        <v>65</v>
      </c>
      <c r="AJ1121" t="s">
        <v>66</v>
      </c>
      <c r="AK1121" t="s">
        <v>66</v>
      </c>
      <c r="AL1121" t="s">
        <v>66</v>
      </c>
      <c r="AM1121" s="2" t="str">
        <f>HYPERLINK("https://transparencia.cidesi.mx/comprobantes/2021/CQ2100872 /C1FA-RN026115-AULG430317679.pdf")</f>
        <v>https://transparencia.cidesi.mx/comprobantes/2021/CQ2100872 /C1FA-RN026115-AULG430317679.pdf</v>
      </c>
      <c r="AN1121" t="str">
        <f>HYPERLINK("https://transparencia.cidesi.mx/comprobantes/2021/CQ2100872 /C1FA-RN026115-AULG430317679.pdf")</f>
        <v>https://transparencia.cidesi.mx/comprobantes/2021/CQ2100872 /C1FA-RN026115-AULG430317679.pdf</v>
      </c>
      <c r="AO1121" t="str">
        <f>HYPERLINK("https://transparencia.cidesi.mx/comprobantes/2021/CQ2100872 /C1FA-RN026115-AULG430317679.xml")</f>
        <v>https://transparencia.cidesi.mx/comprobantes/2021/CQ2100872 /C1FA-RN026115-AULG430317679.xml</v>
      </c>
      <c r="AP1121" t="s">
        <v>2154</v>
      </c>
      <c r="AQ1121" t="s">
        <v>2155</v>
      </c>
      <c r="AR1121" t="s">
        <v>2155</v>
      </c>
      <c r="AS1121" t="s">
        <v>2155</v>
      </c>
      <c r="AT1121" s="1">
        <v>44467</v>
      </c>
      <c r="AU1121" s="1">
        <v>44473</v>
      </c>
    </row>
    <row r="1122" spans="1:47" x14ac:dyDescent="0.3">
      <c r="A1122" t="s">
        <v>47</v>
      </c>
      <c r="B1122" t="s">
        <v>224</v>
      </c>
      <c r="C1122" t="s">
        <v>225</v>
      </c>
      <c r="D1122">
        <v>100105</v>
      </c>
      <c r="E1122" t="s">
        <v>2105</v>
      </c>
      <c r="F1122" t="s">
        <v>248</v>
      </c>
      <c r="G1122" t="s">
        <v>2106</v>
      </c>
      <c r="H1122" t="s">
        <v>2156</v>
      </c>
      <c r="I1122" t="s">
        <v>54</v>
      </c>
      <c r="J1122" t="s">
        <v>2137</v>
      </c>
      <c r="K1122" t="s">
        <v>56</v>
      </c>
      <c r="L1122">
        <v>0</v>
      </c>
      <c r="M1122" t="s">
        <v>73</v>
      </c>
      <c r="N1122">
        <v>0</v>
      </c>
      <c r="O1122" t="s">
        <v>58</v>
      </c>
      <c r="P1122" t="s">
        <v>59</v>
      </c>
      <c r="Q1122" t="s">
        <v>1284</v>
      </c>
      <c r="R1122" t="s">
        <v>2137</v>
      </c>
      <c r="S1122" s="1">
        <v>44462</v>
      </c>
      <c r="T1122" s="1">
        <v>44462</v>
      </c>
      <c r="U1122">
        <v>37501</v>
      </c>
      <c r="V1122" t="s">
        <v>61</v>
      </c>
      <c r="W1122" t="s">
        <v>2157</v>
      </c>
      <c r="X1122" s="1">
        <v>44463</v>
      </c>
      <c r="Y1122" t="s">
        <v>63</v>
      </c>
      <c r="Z1122">
        <v>362.93</v>
      </c>
      <c r="AA1122">
        <v>16</v>
      </c>
      <c r="AB1122">
        <v>58.07</v>
      </c>
      <c r="AC1122">
        <v>42</v>
      </c>
      <c r="AD1122">
        <v>463</v>
      </c>
      <c r="AE1122">
        <v>463</v>
      </c>
      <c r="AF1122">
        <v>545</v>
      </c>
      <c r="AG1122" t="s">
        <v>2110</v>
      </c>
      <c r="AH1122" t="s">
        <v>65</v>
      </c>
      <c r="AI1122" t="s">
        <v>65</v>
      </c>
      <c r="AJ1122" t="s">
        <v>66</v>
      </c>
      <c r="AK1122" t="s">
        <v>66</v>
      </c>
      <c r="AL1122" t="s">
        <v>66</v>
      </c>
      <c r="AM1122" s="2" t="str">
        <f>HYPERLINK("https://transparencia.cidesi.mx/comprobantes/2021/CQ2100883 /C1GEX0108298K9FB0000091617.pdf")</f>
        <v>https://transparencia.cidesi.mx/comprobantes/2021/CQ2100883 /C1GEX0108298K9FB0000091617.pdf</v>
      </c>
      <c r="AN1122" t="str">
        <f>HYPERLINK("https://transparencia.cidesi.mx/comprobantes/2021/CQ2100883 /C1GEX0108298K9FB0000091617.pdf")</f>
        <v>https://transparencia.cidesi.mx/comprobantes/2021/CQ2100883 /C1GEX0108298K9FB0000091617.pdf</v>
      </c>
      <c r="AO1122" t="str">
        <f>HYPERLINK("https://transparencia.cidesi.mx/comprobantes/2021/CQ2100883 /C1GEX0108298K9FB0000091617.xml")</f>
        <v>https://transparencia.cidesi.mx/comprobantes/2021/CQ2100883 /C1GEX0108298K9FB0000091617.xml</v>
      </c>
      <c r="AP1122" t="s">
        <v>2154</v>
      </c>
      <c r="AQ1122" t="s">
        <v>2155</v>
      </c>
      <c r="AR1122" t="s">
        <v>2155</v>
      </c>
      <c r="AS1122" t="s">
        <v>2155</v>
      </c>
      <c r="AT1122" s="1">
        <v>44467</v>
      </c>
      <c r="AU1122" s="1">
        <v>44473</v>
      </c>
    </row>
    <row r="1123" spans="1:47" x14ac:dyDescent="0.3">
      <c r="A1123" t="s">
        <v>47</v>
      </c>
      <c r="B1123" t="s">
        <v>224</v>
      </c>
      <c r="C1123" t="s">
        <v>225</v>
      </c>
      <c r="D1123">
        <v>100105</v>
      </c>
      <c r="E1123" t="s">
        <v>2105</v>
      </c>
      <c r="F1123" t="s">
        <v>248</v>
      </c>
      <c r="G1123" t="s">
        <v>2106</v>
      </c>
      <c r="H1123" t="s">
        <v>2158</v>
      </c>
      <c r="I1123" t="s">
        <v>54</v>
      </c>
      <c r="J1123" t="s">
        <v>2137</v>
      </c>
      <c r="K1123" t="s">
        <v>56</v>
      </c>
      <c r="L1123">
        <v>0</v>
      </c>
      <c r="M1123" t="s">
        <v>73</v>
      </c>
      <c r="N1123">
        <v>0</v>
      </c>
      <c r="O1123" t="s">
        <v>58</v>
      </c>
      <c r="P1123" t="s">
        <v>59</v>
      </c>
      <c r="Q1123" t="s">
        <v>1284</v>
      </c>
      <c r="R1123" t="s">
        <v>2137</v>
      </c>
      <c r="S1123" s="1">
        <v>44463</v>
      </c>
      <c r="T1123" s="1">
        <v>44463</v>
      </c>
      <c r="U1123">
        <v>37501</v>
      </c>
      <c r="V1123" t="s">
        <v>61</v>
      </c>
      <c r="W1123" t="s">
        <v>2159</v>
      </c>
      <c r="X1123" s="1">
        <v>44466</v>
      </c>
      <c r="Y1123" t="s">
        <v>63</v>
      </c>
      <c r="Z1123">
        <v>312.07</v>
      </c>
      <c r="AA1123">
        <v>16</v>
      </c>
      <c r="AB1123">
        <v>49.93</v>
      </c>
      <c r="AC1123">
        <v>0</v>
      </c>
      <c r="AD1123">
        <v>362</v>
      </c>
      <c r="AE1123">
        <v>362</v>
      </c>
      <c r="AF1123">
        <v>545</v>
      </c>
      <c r="AG1123" t="s">
        <v>2110</v>
      </c>
      <c r="AH1123" t="s">
        <v>65</v>
      </c>
      <c r="AI1123" t="s">
        <v>65</v>
      </c>
      <c r="AJ1123" t="s">
        <v>66</v>
      </c>
      <c r="AK1123" t="s">
        <v>66</v>
      </c>
      <c r="AL1123" t="s">
        <v>66</v>
      </c>
      <c r="AM1123" s="2" t="str">
        <f>HYPERLINK("https://transparencia.cidesi.mx/comprobantes/2021/CQ2100894 /C1FA-RN026151-AULG430317679.pdf")</f>
        <v>https://transparencia.cidesi.mx/comprobantes/2021/CQ2100894 /C1FA-RN026151-AULG430317679.pdf</v>
      </c>
      <c r="AN1123" t="str">
        <f>HYPERLINK("https://transparencia.cidesi.mx/comprobantes/2021/CQ2100894 /C1FA-RN026151-AULG430317679.pdf")</f>
        <v>https://transparencia.cidesi.mx/comprobantes/2021/CQ2100894 /C1FA-RN026151-AULG430317679.pdf</v>
      </c>
      <c r="AO1123" t="str">
        <f>HYPERLINK("https://transparencia.cidesi.mx/comprobantes/2021/CQ2100894 /C1FA-RN026151-AULG430317679.xml")</f>
        <v>https://transparencia.cidesi.mx/comprobantes/2021/CQ2100894 /C1FA-RN026151-AULG430317679.xml</v>
      </c>
      <c r="AP1123" t="s">
        <v>2160</v>
      </c>
      <c r="AQ1123" t="s">
        <v>2161</v>
      </c>
      <c r="AR1123" t="s">
        <v>2161</v>
      </c>
      <c r="AS1123" t="s">
        <v>2161</v>
      </c>
      <c r="AT1123" s="1">
        <v>44467</v>
      </c>
      <c r="AU1123" s="1">
        <v>44473</v>
      </c>
    </row>
    <row r="1124" spans="1:47" x14ac:dyDescent="0.3">
      <c r="A1124" t="s">
        <v>47</v>
      </c>
      <c r="B1124" t="s">
        <v>224</v>
      </c>
      <c r="C1124" t="s">
        <v>225</v>
      </c>
      <c r="D1124">
        <v>100148</v>
      </c>
      <c r="E1124" t="s">
        <v>2162</v>
      </c>
      <c r="F1124" t="s">
        <v>692</v>
      </c>
      <c r="G1124" t="s">
        <v>2163</v>
      </c>
      <c r="H1124" t="s">
        <v>2164</v>
      </c>
      <c r="I1124" t="s">
        <v>54</v>
      </c>
      <c r="J1124" t="s">
        <v>2165</v>
      </c>
      <c r="K1124" t="s">
        <v>56</v>
      </c>
      <c r="L1124">
        <v>0</v>
      </c>
      <c r="M1124" t="s">
        <v>73</v>
      </c>
      <c r="N1124">
        <v>0</v>
      </c>
      <c r="O1124" t="s">
        <v>58</v>
      </c>
      <c r="P1124" t="s">
        <v>59</v>
      </c>
      <c r="Q1124" t="s">
        <v>216</v>
      </c>
      <c r="R1124" t="s">
        <v>2165</v>
      </c>
      <c r="S1124" s="1">
        <v>44378</v>
      </c>
      <c r="T1124" s="1">
        <v>44378</v>
      </c>
      <c r="U1124">
        <v>37501</v>
      </c>
      <c r="V1124" t="s">
        <v>61</v>
      </c>
      <c r="W1124" t="s">
        <v>2166</v>
      </c>
      <c r="X1124" s="1">
        <v>44384</v>
      </c>
      <c r="Y1124" t="s">
        <v>63</v>
      </c>
      <c r="Z1124">
        <v>312.07</v>
      </c>
      <c r="AA1124">
        <v>16</v>
      </c>
      <c r="AB1124">
        <v>49.93</v>
      </c>
      <c r="AC1124">
        <v>38</v>
      </c>
      <c r="AD1124">
        <v>400</v>
      </c>
      <c r="AE1124">
        <v>450.5</v>
      </c>
      <c r="AF1124">
        <v>545</v>
      </c>
      <c r="AG1124" t="s">
        <v>2167</v>
      </c>
      <c r="AH1124" t="s">
        <v>65</v>
      </c>
      <c r="AI1124" t="s">
        <v>65</v>
      </c>
      <c r="AJ1124" t="s">
        <v>66</v>
      </c>
      <c r="AK1124" t="s">
        <v>66</v>
      </c>
      <c r="AL1124" t="s">
        <v>66</v>
      </c>
      <c r="AM1124" s="2" t="str">
        <f>HYPERLINK("https://transparencia.cidesi.mx/comprobantes/2021/CQ2100473 /C1CID840309UG7F0000018701.pdf")</f>
        <v>https://transparencia.cidesi.mx/comprobantes/2021/CQ2100473 /C1CID840309UG7F0000018701.pdf</v>
      </c>
      <c r="AN1124" t="str">
        <f>HYPERLINK("https://transparencia.cidesi.mx/comprobantes/2021/CQ2100473 /C1CID840309UG7F0000018701.pdf")</f>
        <v>https://transparencia.cidesi.mx/comprobantes/2021/CQ2100473 /C1CID840309UG7F0000018701.pdf</v>
      </c>
      <c r="AO1124" t="str">
        <f>HYPERLINK("https://transparencia.cidesi.mx/comprobantes/2021/CQ2100473 /C1CID840309UG7F0000018701.xml")</f>
        <v>https://transparencia.cidesi.mx/comprobantes/2021/CQ2100473 /C1CID840309UG7F0000018701.xml</v>
      </c>
      <c r="AP1124" t="s">
        <v>2168</v>
      </c>
      <c r="AQ1124" t="s">
        <v>2169</v>
      </c>
      <c r="AR1124" t="s">
        <v>2170</v>
      </c>
      <c r="AS1124" t="s">
        <v>2171</v>
      </c>
      <c r="AT1124" s="1">
        <v>44385</v>
      </c>
      <c r="AU1124" s="1">
        <v>44389</v>
      </c>
    </row>
    <row r="1125" spans="1:47" x14ac:dyDescent="0.3">
      <c r="A1125" t="s">
        <v>47</v>
      </c>
      <c r="B1125" t="s">
        <v>224</v>
      </c>
      <c r="C1125" t="s">
        <v>225</v>
      </c>
      <c r="D1125">
        <v>100148</v>
      </c>
      <c r="E1125" t="s">
        <v>2162</v>
      </c>
      <c r="F1125" t="s">
        <v>692</v>
      </c>
      <c r="G1125" t="s">
        <v>2163</v>
      </c>
      <c r="H1125" t="s">
        <v>2164</v>
      </c>
      <c r="I1125" t="s">
        <v>54</v>
      </c>
      <c r="J1125" t="s">
        <v>2165</v>
      </c>
      <c r="K1125" t="s">
        <v>56</v>
      </c>
      <c r="L1125">
        <v>0</v>
      </c>
      <c r="M1125" t="s">
        <v>73</v>
      </c>
      <c r="N1125">
        <v>0</v>
      </c>
      <c r="O1125" t="s">
        <v>58</v>
      </c>
      <c r="P1125" t="s">
        <v>59</v>
      </c>
      <c r="Q1125" t="s">
        <v>216</v>
      </c>
      <c r="R1125" t="s">
        <v>2165</v>
      </c>
      <c r="S1125" s="1">
        <v>44378</v>
      </c>
      <c r="T1125" s="1">
        <v>44378</v>
      </c>
      <c r="U1125">
        <v>37501</v>
      </c>
      <c r="V1125" t="s">
        <v>61</v>
      </c>
      <c r="W1125" t="s">
        <v>2166</v>
      </c>
      <c r="X1125" s="1">
        <v>44384</v>
      </c>
      <c r="Y1125" t="s">
        <v>63</v>
      </c>
      <c r="Z1125">
        <v>50.5</v>
      </c>
      <c r="AA1125">
        <v>0</v>
      </c>
      <c r="AB1125">
        <v>0</v>
      </c>
      <c r="AC1125">
        <v>0</v>
      </c>
      <c r="AD1125">
        <v>50.5</v>
      </c>
      <c r="AE1125">
        <v>450.5</v>
      </c>
      <c r="AF1125">
        <v>545</v>
      </c>
      <c r="AG1125" t="s">
        <v>2167</v>
      </c>
      <c r="AH1125" t="s">
        <v>65</v>
      </c>
      <c r="AI1125" t="s">
        <v>65</v>
      </c>
      <c r="AJ1125" t="s">
        <v>66</v>
      </c>
      <c r="AK1125" t="s">
        <v>66</v>
      </c>
      <c r="AL1125" t="s">
        <v>66</v>
      </c>
      <c r="AM1125" s="2" t="str">
        <f>HYPERLINK("https://transparencia.cidesi.mx/comprobantes/2021/CQ2100473 /C2FACTURA_1625660798510_336413621.pdf")</f>
        <v>https://transparencia.cidesi.mx/comprobantes/2021/CQ2100473 /C2FACTURA_1625660798510_336413621.pdf</v>
      </c>
      <c r="AN1125" t="str">
        <f>HYPERLINK("https://transparencia.cidesi.mx/comprobantes/2021/CQ2100473 /C2FACTURA_1625660798510_336413621.pdf")</f>
        <v>https://transparencia.cidesi.mx/comprobantes/2021/CQ2100473 /C2FACTURA_1625660798510_336413621.pdf</v>
      </c>
      <c r="AO1125" t="str">
        <f>HYPERLINK("https://transparencia.cidesi.mx/comprobantes/2021/CQ2100473 /C2FACTURA_1625660797640_336413621.xml")</f>
        <v>https://transparencia.cidesi.mx/comprobantes/2021/CQ2100473 /C2FACTURA_1625660797640_336413621.xml</v>
      </c>
      <c r="AP1125" t="s">
        <v>2168</v>
      </c>
      <c r="AQ1125" t="s">
        <v>2169</v>
      </c>
      <c r="AR1125" t="s">
        <v>2170</v>
      </c>
      <c r="AS1125" t="s">
        <v>2171</v>
      </c>
      <c r="AT1125" s="1">
        <v>44385</v>
      </c>
      <c r="AU1125" s="1">
        <v>44389</v>
      </c>
    </row>
    <row r="1126" spans="1:47" x14ac:dyDescent="0.3">
      <c r="A1126" t="s">
        <v>47</v>
      </c>
      <c r="B1126" t="s">
        <v>224</v>
      </c>
      <c r="C1126" t="s">
        <v>225</v>
      </c>
      <c r="D1126">
        <v>100148</v>
      </c>
      <c r="E1126" t="s">
        <v>2162</v>
      </c>
      <c r="F1126" t="s">
        <v>692</v>
      </c>
      <c r="G1126" t="s">
        <v>2163</v>
      </c>
      <c r="H1126" t="s">
        <v>2172</v>
      </c>
      <c r="I1126" t="s">
        <v>54</v>
      </c>
      <c r="J1126" t="s">
        <v>2165</v>
      </c>
      <c r="K1126" t="s">
        <v>56</v>
      </c>
      <c r="L1126">
        <v>0</v>
      </c>
      <c r="M1126" t="s">
        <v>73</v>
      </c>
      <c r="N1126">
        <v>0</v>
      </c>
      <c r="O1126" t="s">
        <v>58</v>
      </c>
      <c r="P1126" t="s">
        <v>59</v>
      </c>
      <c r="Q1126" t="s">
        <v>216</v>
      </c>
      <c r="R1126" t="s">
        <v>2165</v>
      </c>
      <c r="S1126" s="1">
        <v>44379</v>
      </c>
      <c r="T1126" s="1">
        <v>44379</v>
      </c>
      <c r="U1126">
        <v>37501</v>
      </c>
      <c r="V1126" t="s">
        <v>61</v>
      </c>
      <c r="W1126" t="s">
        <v>2173</v>
      </c>
      <c r="X1126" s="1">
        <v>44384</v>
      </c>
      <c r="Y1126" t="s">
        <v>63</v>
      </c>
      <c r="Z1126">
        <v>47.5</v>
      </c>
      <c r="AA1126">
        <v>0</v>
      </c>
      <c r="AB1126">
        <v>0</v>
      </c>
      <c r="AC1126">
        <v>0</v>
      </c>
      <c r="AD1126">
        <v>47.5</v>
      </c>
      <c r="AE1126">
        <v>536.21</v>
      </c>
      <c r="AF1126">
        <v>545</v>
      </c>
      <c r="AG1126" t="s">
        <v>2167</v>
      </c>
      <c r="AH1126" t="s">
        <v>65</v>
      </c>
      <c r="AI1126" t="s">
        <v>65</v>
      </c>
      <c r="AJ1126" t="s">
        <v>66</v>
      </c>
      <c r="AK1126" t="s">
        <v>66</v>
      </c>
      <c r="AL1126" t="s">
        <v>66</v>
      </c>
      <c r="AM1126" s="2" t="str">
        <f>HYPERLINK("https://transparencia.cidesi.mx/comprobantes/2021/CQ2100474 /C1FACTURA_1625660943580_336413711.pdf")</f>
        <v>https://transparencia.cidesi.mx/comprobantes/2021/CQ2100474 /C1FACTURA_1625660943580_336413711.pdf</v>
      </c>
      <c r="AN1126" t="str">
        <f>HYPERLINK("https://transparencia.cidesi.mx/comprobantes/2021/CQ2100474 /C1FACTURA_1625660943580_336413711.pdf")</f>
        <v>https://transparencia.cidesi.mx/comprobantes/2021/CQ2100474 /C1FACTURA_1625660943580_336413711.pdf</v>
      </c>
      <c r="AO1126" t="str">
        <f>HYPERLINK("https://transparencia.cidesi.mx/comprobantes/2021/CQ2100474 /C1FACTURA_1625660942700_336413711.xml")</f>
        <v>https://transparencia.cidesi.mx/comprobantes/2021/CQ2100474 /C1FACTURA_1625660942700_336413711.xml</v>
      </c>
      <c r="AP1126" t="s">
        <v>2174</v>
      </c>
      <c r="AQ1126" t="s">
        <v>2169</v>
      </c>
      <c r="AR1126" t="s">
        <v>2170</v>
      </c>
      <c r="AS1126" t="s">
        <v>2171</v>
      </c>
      <c r="AT1126" s="1">
        <v>44385</v>
      </c>
      <c r="AU1126" s="1">
        <v>44389</v>
      </c>
    </row>
    <row r="1127" spans="1:47" x14ac:dyDescent="0.3">
      <c r="A1127" t="s">
        <v>47</v>
      </c>
      <c r="B1127" t="s">
        <v>224</v>
      </c>
      <c r="C1127" t="s">
        <v>225</v>
      </c>
      <c r="D1127">
        <v>100148</v>
      </c>
      <c r="E1127" t="s">
        <v>2162</v>
      </c>
      <c r="F1127" t="s">
        <v>692</v>
      </c>
      <c r="G1127" t="s">
        <v>2163</v>
      </c>
      <c r="H1127" t="s">
        <v>2172</v>
      </c>
      <c r="I1127" t="s">
        <v>54</v>
      </c>
      <c r="J1127" t="s">
        <v>2165</v>
      </c>
      <c r="K1127" t="s">
        <v>56</v>
      </c>
      <c r="L1127">
        <v>0</v>
      </c>
      <c r="M1127" t="s">
        <v>73</v>
      </c>
      <c r="N1127">
        <v>0</v>
      </c>
      <c r="O1127" t="s">
        <v>58</v>
      </c>
      <c r="P1127" t="s">
        <v>59</v>
      </c>
      <c r="Q1127" t="s">
        <v>216</v>
      </c>
      <c r="R1127" t="s">
        <v>2165</v>
      </c>
      <c r="S1127" s="1">
        <v>44379</v>
      </c>
      <c r="T1127" s="1">
        <v>44379</v>
      </c>
      <c r="U1127">
        <v>37501</v>
      </c>
      <c r="V1127" t="s">
        <v>61</v>
      </c>
      <c r="W1127" t="s">
        <v>2173</v>
      </c>
      <c r="X1127" s="1">
        <v>44384</v>
      </c>
      <c r="Y1127" t="s">
        <v>63</v>
      </c>
      <c r="Z1127">
        <v>383.01</v>
      </c>
      <c r="AA1127">
        <v>16</v>
      </c>
      <c r="AB1127">
        <v>61.28</v>
      </c>
      <c r="AC1127">
        <v>44.42</v>
      </c>
      <c r="AD1127">
        <v>488.71</v>
      </c>
      <c r="AE1127">
        <v>536.21</v>
      </c>
      <c r="AF1127">
        <v>545</v>
      </c>
      <c r="AG1127" t="s">
        <v>2167</v>
      </c>
      <c r="AH1127" t="s">
        <v>65</v>
      </c>
      <c r="AI1127" t="s">
        <v>65</v>
      </c>
      <c r="AJ1127" t="s">
        <v>66</v>
      </c>
      <c r="AK1127" t="s">
        <v>66</v>
      </c>
      <c r="AL1127" t="s">
        <v>66</v>
      </c>
      <c r="AM1127" s="2" t="str">
        <f>HYPERLINK("https://transparencia.cidesi.mx/comprobantes/2021/CQ2100474 /C2fc55325F CHAVA.pdf")</f>
        <v>https://transparencia.cidesi.mx/comprobantes/2021/CQ2100474 /C2fc55325F CHAVA.pdf</v>
      </c>
      <c r="AN1127" t="str">
        <f>HYPERLINK("https://transparencia.cidesi.mx/comprobantes/2021/CQ2100474 /C2fc55325F CHAVA.pdf")</f>
        <v>https://transparencia.cidesi.mx/comprobantes/2021/CQ2100474 /C2fc55325F CHAVA.pdf</v>
      </c>
      <c r="AO1127" t="str">
        <f>HYPERLINK("https://transparencia.cidesi.mx/comprobantes/2021/CQ2100474 /C255325F CHAVA_xml.xml")</f>
        <v>https://transparencia.cidesi.mx/comprobantes/2021/CQ2100474 /C255325F CHAVA_xml.xml</v>
      </c>
      <c r="AP1127" t="s">
        <v>2174</v>
      </c>
      <c r="AQ1127" t="s">
        <v>2169</v>
      </c>
      <c r="AR1127" t="s">
        <v>2170</v>
      </c>
      <c r="AS1127" t="s">
        <v>2171</v>
      </c>
      <c r="AT1127" s="1">
        <v>44385</v>
      </c>
      <c r="AU1127" s="1">
        <v>44389</v>
      </c>
    </row>
    <row r="1128" spans="1:47" x14ac:dyDescent="0.3">
      <c r="A1128" t="s">
        <v>47</v>
      </c>
      <c r="B1128" t="s">
        <v>224</v>
      </c>
      <c r="C1128" t="s">
        <v>225</v>
      </c>
      <c r="D1128">
        <v>100148</v>
      </c>
      <c r="E1128" t="s">
        <v>2162</v>
      </c>
      <c r="F1128" t="s">
        <v>692</v>
      </c>
      <c r="G1128" t="s">
        <v>2163</v>
      </c>
      <c r="H1128" t="s">
        <v>2175</v>
      </c>
      <c r="I1128" t="s">
        <v>54</v>
      </c>
      <c r="J1128" t="s">
        <v>2165</v>
      </c>
      <c r="K1128" t="s">
        <v>56</v>
      </c>
      <c r="L1128">
        <v>0</v>
      </c>
      <c r="M1128" t="s">
        <v>73</v>
      </c>
      <c r="N1128">
        <v>0</v>
      </c>
      <c r="O1128" t="s">
        <v>58</v>
      </c>
      <c r="P1128" t="s">
        <v>59</v>
      </c>
      <c r="Q1128" t="s">
        <v>216</v>
      </c>
      <c r="R1128" t="s">
        <v>2165</v>
      </c>
      <c r="S1128" s="1">
        <v>44382</v>
      </c>
      <c r="T1128" s="1">
        <v>44382</v>
      </c>
      <c r="U1128">
        <v>37501</v>
      </c>
      <c r="V1128" t="s">
        <v>61</v>
      </c>
      <c r="W1128" t="s">
        <v>2176</v>
      </c>
      <c r="X1128" s="1">
        <v>44385</v>
      </c>
      <c r="Y1128" t="s">
        <v>63</v>
      </c>
      <c r="Z1128">
        <v>28.5</v>
      </c>
      <c r="AA1128">
        <v>0</v>
      </c>
      <c r="AB1128">
        <v>0</v>
      </c>
      <c r="AC1128">
        <v>0</v>
      </c>
      <c r="AD1128">
        <v>28.5</v>
      </c>
      <c r="AE1128">
        <v>510.5</v>
      </c>
      <c r="AF1128">
        <v>545</v>
      </c>
      <c r="AG1128" t="s">
        <v>2167</v>
      </c>
      <c r="AH1128" t="s">
        <v>65</v>
      </c>
      <c r="AI1128" t="s">
        <v>65</v>
      </c>
      <c r="AJ1128" t="s">
        <v>66</v>
      </c>
      <c r="AK1128" t="s">
        <v>66</v>
      </c>
      <c r="AL1128" t="s">
        <v>66</v>
      </c>
      <c r="AM1128" s="2" t="str">
        <f>HYPERLINK("https://transparencia.cidesi.mx/comprobantes/2021/CQ2100487 /C1FACTURA_1625752498410_336518327.pdf")</f>
        <v>https://transparencia.cidesi.mx/comprobantes/2021/CQ2100487 /C1FACTURA_1625752498410_336518327.pdf</v>
      </c>
      <c r="AN1128" t="str">
        <f>HYPERLINK("https://transparencia.cidesi.mx/comprobantes/2021/CQ2100487 /C1FACTURA_1625752498410_336518327.pdf")</f>
        <v>https://transparencia.cidesi.mx/comprobantes/2021/CQ2100487 /C1FACTURA_1625752498410_336518327.pdf</v>
      </c>
      <c r="AO1128" t="str">
        <f>HYPERLINK("https://transparencia.cidesi.mx/comprobantes/2021/CQ2100487 /C1FACTURA_1625752497660_336518327.xml")</f>
        <v>https://transparencia.cidesi.mx/comprobantes/2021/CQ2100487 /C1FACTURA_1625752497660_336518327.xml</v>
      </c>
      <c r="AP1128" t="s">
        <v>2177</v>
      </c>
      <c r="AQ1128" t="s">
        <v>2178</v>
      </c>
      <c r="AR1128" t="s">
        <v>2170</v>
      </c>
      <c r="AS1128" t="s">
        <v>2171</v>
      </c>
      <c r="AT1128" s="1">
        <v>44385</v>
      </c>
      <c r="AU1128" s="1">
        <v>44389</v>
      </c>
    </row>
    <row r="1129" spans="1:47" x14ac:dyDescent="0.3">
      <c r="A1129" t="s">
        <v>47</v>
      </c>
      <c r="B1129" t="s">
        <v>224</v>
      </c>
      <c r="C1129" t="s">
        <v>225</v>
      </c>
      <c r="D1129">
        <v>100148</v>
      </c>
      <c r="E1129" t="s">
        <v>2162</v>
      </c>
      <c r="F1129" t="s">
        <v>692</v>
      </c>
      <c r="G1129" t="s">
        <v>2163</v>
      </c>
      <c r="H1129" t="s">
        <v>2175</v>
      </c>
      <c r="I1129" t="s">
        <v>54</v>
      </c>
      <c r="J1129" t="s">
        <v>2165</v>
      </c>
      <c r="K1129" t="s">
        <v>56</v>
      </c>
      <c r="L1129">
        <v>0</v>
      </c>
      <c r="M1129" t="s">
        <v>73</v>
      </c>
      <c r="N1129">
        <v>0</v>
      </c>
      <c r="O1129" t="s">
        <v>58</v>
      </c>
      <c r="P1129" t="s">
        <v>59</v>
      </c>
      <c r="Q1129" t="s">
        <v>216</v>
      </c>
      <c r="R1129" t="s">
        <v>2165</v>
      </c>
      <c r="S1129" s="1">
        <v>44382</v>
      </c>
      <c r="T1129" s="1">
        <v>44382</v>
      </c>
      <c r="U1129">
        <v>37501</v>
      </c>
      <c r="V1129" t="s">
        <v>61</v>
      </c>
      <c r="W1129" t="s">
        <v>2176</v>
      </c>
      <c r="X1129" s="1">
        <v>44385</v>
      </c>
      <c r="Y1129" t="s">
        <v>63</v>
      </c>
      <c r="Z1129">
        <v>377.59</v>
      </c>
      <c r="AA1129">
        <v>16</v>
      </c>
      <c r="AB1129">
        <v>60.41</v>
      </c>
      <c r="AC1129">
        <v>44</v>
      </c>
      <c r="AD1129">
        <v>482</v>
      </c>
      <c r="AE1129">
        <v>510.5</v>
      </c>
      <c r="AF1129">
        <v>545</v>
      </c>
      <c r="AG1129" t="s">
        <v>2167</v>
      </c>
      <c r="AH1129" t="s">
        <v>65</v>
      </c>
      <c r="AI1129" t="s">
        <v>65</v>
      </c>
      <c r="AJ1129" t="s">
        <v>66</v>
      </c>
      <c r="AK1129" t="s">
        <v>66</v>
      </c>
      <c r="AL1129" t="s">
        <v>66</v>
      </c>
      <c r="AM1129" s="2" t="str">
        <f>HYPERLINK("https://transparencia.cidesi.mx/comprobantes/2021/CQ2100487 /C2CID840309UG7F0000018719 (1).pdf")</f>
        <v>https://transparencia.cidesi.mx/comprobantes/2021/CQ2100487 /C2CID840309UG7F0000018719 (1).pdf</v>
      </c>
      <c r="AN1129" t="str">
        <f>HYPERLINK("https://transparencia.cidesi.mx/comprobantes/2021/CQ2100487 /C2CID840309UG7F0000018719 (1).pdf")</f>
        <v>https://transparencia.cidesi.mx/comprobantes/2021/CQ2100487 /C2CID840309UG7F0000018719 (1).pdf</v>
      </c>
      <c r="AO1129" t="str">
        <f>HYPERLINK("https://transparencia.cidesi.mx/comprobantes/2021/CQ2100487 /C2CID840309UG7F0000018719 (1).xml")</f>
        <v>https://transparencia.cidesi.mx/comprobantes/2021/CQ2100487 /C2CID840309UG7F0000018719 (1).xml</v>
      </c>
      <c r="AP1129" t="s">
        <v>2177</v>
      </c>
      <c r="AQ1129" t="s">
        <v>2178</v>
      </c>
      <c r="AR1129" t="s">
        <v>2170</v>
      </c>
      <c r="AS1129" t="s">
        <v>2171</v>
      </c>
      <c r="AT1129" s="1">
        <v>44385</v>
      </c>
      <c r="AU1129" s="1">
        <v>44389</v>
      </c>
    </row>
    <row r="1130" spans="1:47" x14ac:dyDescent="0.3">
      <c r="A1130" t="s">
        <v>47</v>
      </c>
      <c r="B1130" t="s">
        <v>224</v>
      </c>
      <c r="C1130" t="s">
        <v>225</v>
      </c>
      <c r="D1130">
        <v>100148</v>
      </c>
      <c r="E1130" t="s">
        <v>2162</v>
      </c>
      <c r="F1130" t="s">
        <v>692</v>
      </c>
      <c r="G1130" t="s">
        <v>2163</v>
      </c>
      <c r="H1130" t="s">
        <v>2179</v>
      </c>
      <c r="I1130" t="s">
        <v>54</v>
      </c>
      <c r="J1130" t="s">
        <v>2165</v>
      </c>
      <c r="K1130" t="s">
        <v>56</v>
      </c>
      <c r="L1130">
        <v>0</v>
      </c>
      <c r="M1130" t="s">
        <v>73</v>
      </c>
      <c r="N1130">
        <v>0</v>
      </c>
      <c r="O1130" t="s">
        <v>58</v>
      </c>
      <c r="P1130" t="s">
        <v>59</v>
      </c>
      <c r="Q1130" t="s">
        <v>216</v>
      </c>
      <c r="R1130" t="s">
        <v>2165</v>
      </c>
      <c r="S1130" s="1">
        <v>44383</v>
      </c>
      <c r="T1130" s="1">
        <v>44383</v>
      </c>
      <c r="U1130">
        <v>37501</v>
      </c>
      <c r="V1130" t="s">
        <v>61</v>
      </c>
      <c r="W1130" t="s">
        <v>2180</v>
      </c>
      <c r="X1130" s="1">
        <v>44385</v>
      </c>
      <c r="Y1130" t="s">
        <v>63</v>
      </c>
      <c r="Z1130">
        <v>350.86</v>
      </c>
      <c r="AA1130">
        <v>16</v>
      </c>
      <c r="AB1130">
        <v>56.14</v>
      </c>
      <c r="AC1130">
        <v>41</v>
      </c>
      <c r="AD1130">
        <v>448</v>
      </c>
      <c r="AE1130">
        <v>488</v>
      </c>
      <c r="AF1130">
        <v>545</v>
      </c>
      <c r="AG1130" t="s">
        <v>2167</v>
      </c>
      <c r="AH1130" t="s">
        <v>65</v>
      </c>
      <c r="AI1130" t="s">
        <v>65</v>
      </c>
      <c r="AJ1130" t="s">
        <v>66</v>
      </c>
      <c r="AK1130" t="s">
        <v>66</v>
      </c>
      <c r="AL1130" t="s">
        <v>66</v>
      </c>
      <c r="AM1130" s="2" t="str">
        <f>HYPERLINK("https://transparencia.cidesi.mx/comprobantes/2021/CQ2100488 /C1AAA0000021563.pdf")</f>
        <v>https://transparencia.cidesi.mx/comprobantes/2021/CQ2100488 /C1AAA0000021563.pdf</v>
      </c>
      <c r="AN1130" t="str">
        <f>HYPERLINK("https://transparencia.cidesi.mx/comprobantes/2021/CQ2100488 /C1AAA0000021563.pdf")</f>
        <v>https://transparencia.cidesi.mx/comprobantes/2021/CQ2100488 /C1AAA0000021563.pdf</v>
      </c>
      <c r="AO1130" t="str">
        <f>HYPERLINK("https://transparencia.cidesi.mx/comprobantes/2021/CQ2100488 /C1AAA0000021563.xml")</f>
        <v>https://transparencia.cidesi.mx/comprobantes/2021/CQ2100488 /C1AAA0000021563.xml</v>
      </c>
      <c r="AP1130" t="s">
        <v>2168</v>
      </c>
      <c r="AQ1130" t="s">
        <v>2178</v>
      </c>
      <c r="AR1130" t="s">
        <v>2170</v>
      </c>
      <c r="AS1130" t="s">
        <v>2171</v>
      </c>
      <c r="AT1130" s="1">
        <v>44385</v>
      </c>
      <c r="AU1130" s="1">
        <v>44389</v>
      </c>
    </row>
    <row r="1131" spans="1:47" x14ac:dyDescent="0.3">
      <c r="A1131" t="s">
        <v>47</v>
      </c>
      <c r="B1131" t="s">
        <v>224</v>
      </c>
      <c r="C1131" t="s">
        <v>225</v>
      </c>
      <c r="D1131">
        <v>100148</v>
      </c>
      <c r="E1131" t="s">
        <v>2162</v>
      </c>
      <c r="F1131" t="s">
        <v>692</v>
      </c>
      <c r="G1131" t="s">
        <v>2163</v>
      </c>
      <c r="H1131" t="s">
        <v>2179</v>
      </c>
      <c r="I1131" t="s">
        <v>54</v>
      </c>
      <c r="J1131" t="s">
        <v>2165</v>
      </c>
      <c r="K1131" t="s">
        <v>56</v>
      </c>
      <c r="L1131">
        <v>0</v>
      </c>
      <c r="M1131" t="s">
        <v>73</v>
      </c>
      <c r="N1131">
        <v>0</v>
      </c>
      <c r="O1131" t="s">
        <v>58</v>
      </c>
      <c r="P1131" t="s">
        <v>59</v>
      </c>
      <c r="Q1131" t="s">
        <v>216</v>
      </c>
      <c r="R1131" t="s">
        <v>2165</v>
      </c>
      <c r="S1131" s="1">
        <v>44383</v>
      </c>
      <c r="T1131" s="1">
        <v>44383</v>
      </c>
      <c r="U1131">
        <v>37501</v>
      </c>
      <c r="V1131" t="s">
        <v>61</v>
      </c>
      <c r="W1131" t="s">
        <v>2180</v>
      </c>
      <c r="X1131" s="1">
        <v>44385</v>
      </c>
      <c r="Y1131" t="s">
        <v>63</v>
      </c>
      <c r="Z1131">
        <v>40</v>
      </c>
      <c r="AA1131">
        <v>0</v>
      </c>
      <c r="AB1131">
        <v>0</v>
      </c>
      <c r="AC1131">
        <v>0</v>
      </c>
      <c r="AD1131">
        <v>40</v>
      </c>
      <c r="AE1131">
        <v>488</v>
      </c>
      <c r="AF1131">
        <v>545</v>
      </c>
      <c r="AG1131" t="s">
        <v>2167</v>
      </c>
      <c r="AH1131" t="s">
        <v>65</v>
      </c>
      <c r="AI1131" t="s">
        <v>65</v>
      </c>
      <c r="AJ1131" t="s">
        <v>66</v>
      </c>
      <c r="AK1131" t="s">
        <v>66</v>
      </c>
      <c r="AL1131" t="s">
        <v>66</v>
      </c>
      <c r="AM1131" s="2" t="str">
        <f>HYPERLINK("https://transparencia.cidesi.mx/comprobantes/2021/CQ2100488 /C2FACTURA_1625750909950_336515943.pdf")</f>
        <v>https://transparencia.cidesi.mx/comprobantes/2021/CQ2100488 /C2FACTURA_1625750909950_336515943.pdf</v>
      </c>
      <c r="AN1131" t="str">
        <f>HYPERLINK("https://transparencia.cidesi.mx/comprobantes/2021/CQ2100488 /C2FACTURA_1625750909950_336515943.pdf")</f>
        <v>https://transparencia.cidesi.mx/comprobantes/2021/CQ2100488 /C2FACTURA_1625750909950_336515943.pdf</v>
      </c>
      <c r="AO1131" t="str">
        <f>HYPERLINK("https://transparencia.cidesi.mx/comprobantes/2021/CQ2100488 /C2FACTURA_1625750908670_336515943.xml")</f>
        <v>https://transparencia.cidesi.mx/comprobantes/2021/CQ2100488 /C2FACTURA_1625750908670_336515943.xml</v>
      </c>
      <c r="AP1131" t="s">
        <v>2168</v>
      </c>
      <c r="AQ1131" t="s">
        <v>2178</v>
      </c>
      <c r="AR1131" t="s">
        <v>2170</v>
      </c>
      <c r="AS1131" t="s">
        <v>2171</v>
      </c>
      <c r="AT1131" s="1">
        <v>44385</v>
      </c>
      <c r="AU1131" s="1">
        <v>44389</v>
      </c>
    </row>
    <row r="1132" spans="1:47" x14ac:dyDescent="0.3">
      <c r="A1132" t="s">
        <v>47</v>
      </c>
      <c r="B1132" t="s">
        <v>224</v>
      </c>
      <c r="C1132" t="s">
        <v>225</v>
      </c>
      <c r="D1132">
        <v>100148</v>
      </c>
      <c r="E1132" t="s">
        <v>2162</v>
      </c>
      <c r="F1132" t="s">
        <v>692</v>
      </c>
      <c r="G1132" t="s">
        <v>2163</v>
      </c>
      <c r="H1132" t="s">
        <v>2181</v>
      </c>
      <c r="I1132" t="s">
        <v>54</v>
      </c>
      <c r="J1132" t="s">
        <v>2182</v>
      </c>
      <c r="K1132" t="s">
        <v>56</v>
      </c>
      <c r="L1132">
        <v>0</v>
      </c>
      <c r="M1132" t="s">
        <v>73</v>
      </c>
      <c r="N1132">
        <v>0</v>
      </c>
      <c r="O1132" t="s">
        <v>58</v>
      </c>
      <c r="P1132" t="s">
        <v>59</v>
      </c>
      <c r="Q1132" t="s">
        <v>216</v>
      </c>
      <c r="R1132" t="s">
        <v>2182</v>
      </c>
      <c r="S1132" s="1">
        <v>44384</v>
      </c>
      <c r="T1132" s="1">
        <v>44384</v>
      </c>
      <c r="U1132">
        <v>37501</v>
      </c>
      <c r="V1132" t="s">
        <v>61</v>
      </c>
      <c r="W1132" t="s">
        <v>2183</v>
      </c>
      <c r="X1132" s="1">
        <v>44386</v>
      </c>
      <c r="Y1132" t="s">
        <v>63</v>
      </c>
      <c r="Z1132">
        <v>69.83</v>
      </c>
      <c r="AA1132">
        <v>16</v>
      </c>
      <c r="AB1132">
        <v>11.17</v>
      </c>
      <c r="AC1132">
        <v>0</v>
      </c>
      <c r="AD1132">
        <v>81</v>
      </c>
      <c r="AE1132">
        <v>506</v>
      </c>
      <c r="AF1132">
        <v>545</v>
      </c>
      <c r="AG1132" t="s">
        <v>2167</v>
      </c>
      <c r="AH1132" t="s">
        <v>65</v>
      </c>
      <c r="AI1132" t="s">
        <v>65</v>
      </c>
      <c r="AJ1132" t="s">
        <v>66</v>
      </c>
      <c r="AK1132" t="s">
        <v>66</v>
      </c>
      <c r="AL1132" t="s">
        <v>66</v>
      </c>
      <c r="AM1132" s="2" t="str">
        <f>HYPERLINK("https://transparencia.cidesi.mx/comprobantes/2021/CQ2100497 /C168998248.pdf")</f>
        <v>https://transparencia.cidesi.mx/comprobantes/2021/CQ2100497 /C168998248.pdf</v>
      </c>
      <c r="AN1132" t="str">
        <f>HYPERLINK("https://transparencia.cidesi.mx/comprobantes/2021/CQ2100497 /C168998248.pdf")</f>
        <v>https://transparencia.cidesi.mx/comprobantes/2021/CQ2100497 /C168998248.pdf</v>
      </c>
      <c r="AO1132" t="str">
        <f>HYPERLINK("https://transparencia.cidesi.mx/comprobantes/2021/CQ2100497 /C168998248.xml")</f>
        <v>https://transparencia.cidesi.mx/comprobantes/2021/CQ2100497 /C168998248.xml</v>
      </c>
      <c r="AP1132" t="s">
        <v>2184</v>
      </c>
      <c r="AQ1132" t="s">
        <v>2185</v>
      </c>
      <c r="AR1132" t="s">
        <v>2170</v>
      </c>
      <c r="AS1132" t="s">
        <v>2171</v>
      </c>
      <c r="AT1132" s="1">
        <v>44390</v>
      </c>
      <c r="AU1132" s="1">
        <v>44396</v>
      </c>
    </row>
    <row r="1133" spans="1:47" x14ac:dyDescent="0.3">
      <c r="A1133" t="s">
        <v>47</v>
      </c>
      <c r="B1133" t="s">
        <v>224</v>
      </c>
      <c r="C1133" t="s">
        <v>225</v>
      </c>
      <c r="D1133">
        <v>100148</v>
      </c>
      <c r="E1133" t="s">
        <v>2162</v>
      </c>
      <c r="F1133" t="s">
        <v>692</v>
      </c>
      <c r="G1133" t="s">
        <v>2163</v>
      </c>
      <c r="H1133" t="s">
        <v>2181</v>
      </c>
      <c r="I1133" t="s">
        <v>54</v>
      </c>
      <c r="J1133" t="s">
        <v>2182</v>
      </c>
      <c r="K1133" t="s">
        <v>56</v>
      </c>
      <c r="L1133">
        <v>0</v>
      </c>
      <c r="M1133" t="s">
        <v>73</v>
      </c>
      <c r="N1133">
        <v>0</v>
      </c>
      <c r="O1133" t="s">
        <v>58</v>
      </c>
      <c r="P1133" t="s">
        <v>59</v>
      </c>
      <c r="Q1133" t="s">
        <v>216</v>
      </c>
      <c r="R1133" t="s">
        <v>2182</v>
      </c>
      <c r="S1133" s="1">
        <v>44384</v>
      </c>
      <c r="T1133" s="1">
        <v>44384</v>
      </c>
      <c r="U1133">
        <v>37501</v>
      </c>
      <c r="V1133" t="s">
        <v>61</v>
      </c>
      <c r="W1133" t="s">
        <v>2183</v>
      </c>
      <c r="X1133" s="1">
        <v>44386</v>
      </c>
      <c r="Y1133" t="s">
        <v>63</v>
      </c>
      <c r="Z1133">
        <v>331.9</v>
      </c>
      <c r="AA1133">
        <v>16</v>
      </c>
      <c r="AB1133">
        <v>53.1</v>
      </c>
      <c r="AC1133">
        <v>40</v>
      </c>
      <c r="AD1133">
        <v>425</v>
      </c>
      <c r="AE1133">
        <v>506</v>
      </c>
      <c r="AF1133">
        <v>545</v>
      </c>
      <c r="AG1133" t="s">
        <v>2167</v>
      </c>
      <c r="AH1133" t="s">
        <v>65</v>
      </c>
      <c r="AI1133" t="s">
        <v>65</v>
      </c>
      <c r="AJ1133" t="s">
        <v>66</v>
      </c>
      <c r="AK1133" t="s">
        <v>66</v>
      </c>
      <c r="AL1133" t="s">
        <v>66</v>
      </c>
      <c r="AM1133" s="2" t="str">
        <f>HYPERLINK("https://transparencia.cidesi.mx/comprobantes/2021/CQ2100497 /C2CID840309UG7F0000018743.pdf")</f>
        <v>https://transparencia.cidesi.mx/comprobantes/2021/CQ2100497 /C2CID840309UG7F0000018743.pdf</v>
      </c>
      <c r="AN1133" t="str">
        <f>HYPERLINK("https://transparencia.cidesi.mx/comprobantes/2021/CQ2100497 /C2CID840309UG7F0000018743.pdf")</f>
        <v>https://transparencia.cidesi.mx/comprobantes/2021/CQ2100497 /C2CID840309UG7F0000018743.pdf</v>
      </c>
      <c r="AO1133" t="str">
        <f>HYPERLINK("https://transparencia.cidesi.mx/comprobantes/2021/CQ2100497 /C2CID840309UG7F0000018743.xml")</f>
        <v>https://transparencia.cidesi.mx/comprobantes/2021/CQ2100497 /C2CID840309UG7F0000018743.xml</v>
      </c>
      <c r="AP1133" t="s">
        <v>2184</v>
      </c>
      <c r="AQ1133" t="s">
        <v>2185</v>
      </c>
      <c r="AR1133" t="s">
        <v>2170</v>
      </c>
      <c r="AS1133" t="s">
        <v>2171</v>
      </c>
      <c r="AT1133" s="1">
        <v>44390</v>
      </c>
      <c r="AU1133" s="1">
        <v>44396</v>
      </c>
    </row>
    <row r="1134" spans="1:47" x14ac:dyDescent="0.3">
      <c r="A1134" t="s">
        <v>47</v>
      </c>
      <c r="B1134" t="s">
        <v>224</v>
      </c>
      <c r="C1134" t="s">
        <v>225</v>
      </c>
      <c r="D1134">
        <v>100148</v>
      </c>
      <c r="E1134" t="s">
        <v>2162</v>
      </c>
      <c r="F1134" t="s">
        <v>692</v>
      </c>
      <c r="G1134" t="s">
        <v>2163</v>
      </c>
      <c r="H1134" t="s">
        <v>2186</v>
      </c>
      <c r="I1134" t="s">
        <v>54</v>
      </c>
      <c r="J1134" t="s">
        <v>2187</v>
      </c>
      <c r="K1134" t="s">
        <v>56</v>
      </c>
      <c r="L1134">
        <v>0</v>
      </c>
      <c r="M1134" t="s">
        <v>73</v>
      </c>
      <c r="N1134">
        <v>0</v>
      </c>
      <c r="O1134" t="s">
        <v>58</v>
      </c>
      <c r="P1134" t="s">
        <v>59</v>
      </c>
      <c r="Q1134" t="s">
        <v>216</v>
      </c>
      <c r="R1134" t="s">
        <v>2187</v>
      </c>
      <c r="S1134" s="1">
        <v>44399</v>
      </c>
      <c r="T1134" s="1">
        <v>44400</v>
      </c>
      <c r="U1134">
        <v>37501</v>
      </c>
      <c r="V1134" t="s">
        <v>61</v>
      </c>
      <c r="W1134" t="s">
        <v>2188</v>
      </c>
      <c r="X1134" s="1">
        <v>44406</v>
      </c>
      <c r="Y1134" t="s">
        <v>63</v>
      </c>
      <c r="Z1134">
        <v>427.59</v>
      </c>
      <c r="AA1134">
        <v>16</v>
      </c>
      <c r="AB1134">
        <v>68.41</v>
      </c>
      <c r="AC1134">
        <v>50</v>
      </c>
      <c r="AD1134">
        <v>546</v>
      </c>
      <c r="AE1134">
        <v>1556.5</v>
      </c>
      <c r="AF1134">
        <v>1636</v>
      </c>
      <c r="AG1134" t="s">
        <v>2167</v>
      </c>
      <c r="AH1134" t="s">
        <v>65</v>
      </c>
      <c r="AI1134" t="s">
        <v>65</v>
      </c>
      <c r="AJ1134" t="s">
        <v>66</v>
      </c>
      <c r="AK1134" t="s">
        <v>66</v>
      </c>
      <c r="AL1134" t="s">
        <v>66</v>
      </c>
      <c r="AM1134" s="2" t="str">
        <f>HYPERLINK("https://transparencia.cidesi.mx/comprobantes/2021/CQ2100565 /C1TAAC5505297IA_Factura__16527_BAE2CF9E-6318-4F78-82DC-3F143AC1BAF9.pdf")</f>
        <v>https://transparencia.cidesi.mx/comprobantes/2021/CQ2100565 /C1TAAC5505297IA_Factura__16527_BAE2CF9E-6318-4F78-82DC-3F143AC1BAF9.pdf</v>
      </c>
      <c r="AN1134" t="str">
        <f>HYPERLINK("https://transparencia.cidesi.mx/comprobantes/2021/CQ2100565 /C1TAAC5505297IA_Factura__16527_BAE2CF9E-6318-4F78-82DC-3F143AC1BAF9.pdf")</f>
        <v>https://transparencia.cidesi.mx/comprobantes/2021/CQ2100565 /C1TAAC5505297IA_Factura__16527_BAE2CF9E-6318-4F78-82DC-3F143AC1BAF9.pdf</v>
      </c>
      <c r="AO1134" t="str">
        <f>HYPERLINK("https://transparencia.cidesi.mx/comprobantes/2021/CQ2100565 /C1TAAC5505297IA_Factura__16527_BAE2CF9E-6318-4F78-82DC-3F143AC1BAF9.xml")</f>
        <v>https://transparencia.cidesi.mx/comprobantes/2021/CQ2100565 /C1TAAC5505297IA_Factura__16527_BAE2CF9E-6318-4F78-82DC-3F143AC1BAF9.xml</v>
      </c>
      <c r="AP1134" t="s">
        <v>2184</v>
      </c>
      <c r="AQ1134" t="s">
        <v>2189</v>
      </c>
      <c r="AR1134" t="s">
        <v>2190</v>
      </c>
      <c r="AS1134" t="s">
        <v>2171</v>
      </c>
      <c r="AT1134" s="1">
        <v>44407</v>
      </c>
      <c r="AU1134" s="1">
        <v>44411</v>
      </c>
    </row>
    <row r="1135" spans="1:47" x14ac:dyDescent="0.3">
      <c r="A1135" t="s">
        <v>47</v>
      </c>
      <c r="B1135" t="s">
        <v>224</v>
      </c>
      <c r="C1135" t="s">
        <v>225</v>
      </c>
      <c r="D1135">
        <v>100148</v>
      </c>
      <c r="E1135" t="s">
        <v>2162</v>
      </c>
      <c r="F1135" t="s">
        <v>692</v>
      </c>
      <c r="G1135" t="s">
        <v>2163</v>
      </c>
      <c r="H1135" t="s">
        <v>2186</v>
      </c>
      <c r="I1135" t="s">
        <v>54</v>
      </c>
      <c r="J1135" t="s">
        <v>2187</v>
      </c>
      <c r="K1135" t="s">
        <v>56</v>
      </c>
      <c r="L1135">
        <v>0</v>
      </c>
      <c r="M1135" t="s">
        <v>73</v>
      </c>
      <c r="N1135">
        <v>0</v>
      </c>
      <c r="O1135" t="s">
        <v>58</v>
      </c>
      <c r="P1135" t="s">
        <v>59</v>
      </c>
      <c r="Q1135" t="s">
        <v>216</v>
      </c>
      <c r="R1135" t="s">
        <v>2187</v>
      </c>
      <c r="S1135" s="1">
        <v>44399</v>
      </c>
      <c r="T1135" s="1">
        <v>44400</v>
      </c>
      <c r="U1135">
        <v>37501</v>
      </c>
      <c r="V1135" t="s">
        <v>61</v>
      </c>
      <c r="W1135" t="s">
        <v>2188</v>
      </c>
      <c r="X1135" s="1">
        <v>44406</v>
      </c>
      <c r="Y1135" t="s">
        <v>63</v>
      </c>
      <c r="Z1135">
        <v>305.17</v>
      </c>
      <c r="AA1135">
        <v>16</v>
      </c>
      <c r="AB1135">
        <v>48.83</v>
      </c>
      <c r="AC1135">
        <v>36</v>
      </c>
      <c r="AD1135">
        <v>390</v>
      </c>
      <c r="AE1135">
        <v>1556.5</v>
      </c>
      <c r="AF1135">
        <v>1636</v>
      </c>
      <c r="AG1135" t="s">
        <v>2167</v>
      </c>
      <c r="AH1135" t="s">
        <v>65</v>
      </c>
      <c r="AI1135" t="s">
        <v>65</v>
      </c>
      <c r="AJ1135" t="s">
        <v>66</v>
      </c>
      <c r="AK1135" t="s">
        <v>66</v>
      </c>
      <c r="AL1135" t="s">
        <v>66</v>
      </c>
      <c r="AM1135" s="2" t="str">
        <f>HYPERLINK("https://transparencia.cidesi.mx/comprobantes/2021/CQ2100565 /C2CID840309UG7F0000018930.pdf")</f>
        <v>https://transparencia.cidesi.mx/comprobantes/2021/CQ2100565 /C2CID840309UG7F0000018930.pdf</v>
      </c>
      <c r="AN1135" t="str">
        <f>HYPERLINK("https://transparencia.cidesi.mx/comprobantes/2021/CQ2100565 /C2CID840309UG7F0000018930.pdf")</f>
        <v>https://transparencia.cidesi.mx/comprobantes/2021/CQ2100565 /C2CID840309UG7F0000018930.pdf</v>
      </c>
      <c r="AO1135" t="str">
        <f>HYPERLINK("https://transparencia.cidesi.mx/comprobantes/2021/CQ2100565 /C2CID840309UG7F0000018930.xml")</f>
        <v>https://transparencia.cidesi.mx/comprobantes/2021/CQ2100565 /C2CID840309UG7F0000018930.xml</v>
      </c>
      <c r="AP1135" t="s">
        <v>2184</v>
      </c>
      <c r="AQ1135" t="s">
        <v>2189</v>
      </c>
      <c r="AR1135" t="s">
        <v>2190</v>
      </c>
      <c r="AS1135" t="s">
        <v>2171</v>
      </c>
      <c r="AT1135" s="1">
        <v>44407</v>
      </c>
      <c r="AU1135" s="1">
        <v>44411</v>
      </c>
    </row>
    <row r="1136" spans="1:47" x14ac:dyDescent="0.3">
      <c r="A1136" t="s">
        <v>47</v>
      </c>
      <c r="B1136" t="s">
        <v>224</v>
      </c>
      <c r="C1136" t="s">
        <v>225</v>
      </c>
      <c r="D1136">
        <v>100148</v>
      </c>
      <c r="E1136" t="s">
        <v>2162</v>
      </c>
      <c r="F1136" t="s">
        <v>692</v>
      </c>
      <c r="G1136" t="s">
        <v>2163</v>
      </c>
      <c r="H1136" t="s">
        <v>2186</v>
      </c>
      <c r="I1136" t="s">
        <v>54</v>
      </c>
      <c r="J1136" t="s">
        <v>2187</v>
      </c>
      <c r="K1136" t="s">
        <v>56</v>
      </c>
      <c r="L1136">
        <v>0</v>
      </c>
      <c r="M1136" t="s">
        <v>73</v>
      </c>
      <c r="N1136">
        <v>0</v>
      </c>
      <c r="O1136" t="s">
        <v>58</v>
      </c>
      <c r="P1136" t="s">
        <v>59</v>
      </c>
      <c r="Q1136" t="s">
        <v>216</v>
      </c>
      <c r="R1136" t="s">
        <v>2187</v>
      </c>
      <c r="S1136" s="1">
        <v>44399</v>
      </c>
      <c r="T1136" s="1">
        <v>44400</v>
      </c>
      <c r="U1136">
        <v>37501</v>
      </c>
      <c r="V1136" t="s">
        <v>61</v>
      </c>
      <c r="W1136" t="s">
        <v>2188</v>
      </c>
      <c r="X1136" s="1">
        <v>44406</v>
      </c>
      <c r="Y1136" t="s">
        <v>63</v>
      </c>
      <c r="Z1136">
        <v>82.69</v>
      </c>
      <c r="AA1136">
        <v>16</v>
      </c>
      <c r="AB1136">
        <v>3.31</v>
      </c>
      <c r="AC1136">
        <v>0</v>
      </c>
      <c r="AD1136">
        <v>86</v>
      </c>
      <c r="AE1136">
        <v>1556.5</v>
      </c>
      <c r="AF1136">
        <v>1636</v>
      </c>
      <c r="AG1136" t="s">
        <v>2167</v>
      </c>
      <c r="AH1136" t="s">
        <v>65</v>
      </c>
      <c r="AI1136" t="s">
        <v>65</v>
      </c>
      <c r="AJ1136" t="s">
        <v>66</v>
      </c>
      <c r="AK1136" t="s">
        <v>66</v>
      </c>
      <c r="AL1136" t="s">
        <v>66</v>
      </c>
      <c r="AM1136" s="2" t="str">
        <f>HYPERLINK("https://transparencia.cidesi.mx/comprobantes/2021/CQ2100565 /C3FACTURA_1627573533533_338942673.pdf")</f>
        <v>https://transparencia.cidesi.mx/comprobantes/2021/CQ2100565 /C3FACTURA_1627573533533_338942673.pdf</v>
      </c>
      <c r="AN1136" t="str">
        <f>HYPERLINK("https://transparencia.cidesi.mx/comprobantes/2021/CQ2100565 /C3FACTURA_1627573533533_338942673.pdf")</f>
        <v>https://transparencia.cidesi.mx/comprobantes/2021/CQ2100565 /C3FACTURA_1627573533533_338942673.pdf</v>
      </c>
      <c r="AO1136" t="str">
        <f>HYPERLINK("https://transparencia.cidesi.mx/comprobantes/2021/CQ2100565 /C3FACTURA_1627573532593_338942673.xml")</f>
        <v>https://transparencia.cidesi.mx/comprobantes/2021/CQ2100565 /C3FACTURA_1627573532593_338942673.xml</v>
      </c>
      <c r="AP1136" t="s">
        <v>2184</v>
      </c>
      <c r="AQ1136" t="s">
        <v>2189</v>
      </c>
      <c r="AR1136" t="s">
        <v>2190</v>
      </c>
      <c r="AS1136" t="s">
        <v>2171</v>
      </c>
      <c r="AT1136" s="1">
        <v>44407</v>
      </c>
      <c r="AU1136" s="1">
        <v>44411</v>
      </c>
    </row>
    <row r="1137" spans="1:47" x14ac:dyDescent="0.3">
      <c r="A1137" t="s">
        <v>47</v>
      </c>
      <c r="B1137" t="s">
        <v>224</v>
      </c>
      <c r="C1137" t="s">
        <v>225</v>
      </c>
      <c r="D1137">
        <v>100148</v>
      </c>
      <c r="E1137" t="s">
        <v>2162</v>
      </c>
      <c r="F1137" t="s">
        <v>692</v>
      </c>
      <c r="G1137" t="s">
        <v>2163</v>
      </c>
      <c r="H1137" t="s">
        <v>2186</v>
      </c>
      <c r="I1137" t="s">
        <v>54</v>
      </c>
      <c r="J1137" t="s">
        <v>2187</v>
      </c>
      <c r="K1137" t="s">
        <v>56</v>
      </c>
      <c r="L1137">
        <v>0</v>
      </c>
      <c r="M1137" t="s">
        <v>73</v>
      </c>
      <c r="N1137">
        <v>0</v>
      </c>
      <c r="O1137" t="s">
        <v>58</v>
      </c>
      <c r="P1137" t="s">
        <v>59</v>
      </c>
      <c r="Q1137" t="s">
        <v>216</v>
      </c>
      <c r="R1137" t="s">
        <v>2187</v>
      </c>
      <c r="S1137" s="1">
        <v>44399</v>
      </c>
      <c r="T1137" s="1">
        <v>44400</v>
      </c>
      <c r="U1137">
        <v>37501</v>
      </c>
      <c r="V1137" t="s">
        <v>104</v>
      </c>
      <c r="W1137" t="s">
        <v>2188</v>
      </c>
      <c r="X1137" s="1">
        <v>44406</v>
      </c>
      <c r="Y1137" t="s">
        <v>63</v>
      </c>
      <c r="Z1137">
        <v>416</v>
      </c>
      <c r="AA1137">
        <v>16</v>
      </c>
      <c r="AB1137">
        <v>64</v>
      </c>
      <c r="AC1137">
        <v>0</v>
      </c>
      <c r="AD1137">
        <v>480</v>
      </c>
      <c r="AE1137">
        <v>1556.5</v>
      </c>
      <c r="AF1137">
        <v>1636</v>
      </c>
      <c r="AG1137" t="s">
        <v>2191</v>
      </c>
      <c r="AH1137" t="s">
        <v>65</v>
      </c>
      <c r="AI1137" t="s">
        <v>65</v>
      </c>
      <c r="AJ1137" t="s">
        <v>66</v>
      </c>
      <c r="AK1137" t="s">
        <v>66</v>
      </c>
      <c r="AL1137" t="s">
        <v>66</v>
      </c>
      <c r="AM1137" s="2" t="str">
        <f>HYPERLINK("https://transparencia.cidesi.mx/comprobantes/2021/CQ2100565 /C4H_474.pdf")</f>
        <v>https://transparencia.cidesi.mx/comprobantes/2021/CQ2100565 /C4H_474.pdf</v>
      </c>
      <c r="AN1137" t="str">
        <f>HYPERLINK("https://transparencia.cidesi.mx/comprobantes/2021/CQ2100565 /C4H_474.pdf")</f>
        <v>https://transparencia.cidesi.mx/comprobantes/2021/CQ2100565 /C4H_474.pdf</v>
      </c>
      <c r="AO1137" t="str">
        <f>HYPERLINK("https://transparencia.cidesi.mx/comprobantes/2021/CQ2100565 /C4H_474.xml")</f>
        <v>https://transparencia.cidesi.mx/comprobantes/2021/CQ2100565 /C4H_474.xml</v>
      </c>
      <c r="AP1137" t="s">
        <v>2184</v>
      </c>
      <c r="AQ1137" t="s">
        <v>2189</v>
      </c>
      <c r="AR1137" t="s">
        <v>2190</v>
      </c>
      <c r="AS1137" t="s">
        <v>2171</v>
      </c>
      <c r="AT1137" s="1">
        <v>44407</v>
      </c>
      <c r="AU1137" s="1">
        <v>44411</v>
      </c>
    </row>
    <row r="1138" spans="1:47" x14ac:dyDescent="0.3">
      <c r="A1138" t="s">
        <v>47</v>
      </c>
      <c r="B1138" t="s">
        <v>224</v>
      </c>
      <c r="C1138" t="s">
        <v>225</v>
      </c>
      <c r="D1138">
        <v>100148</v>
      </c>
      <c r="E1138" t="s">
        <v>2162</v>
      </c>
      <c r="F1138" t="s">
        <v>692</v>
      </c>
      <c r="G1138" t="s">
        <v>2163</v>
      </c>
      <c r="H1138" t="s">
        <v>2186</v>
      </c>
      <c r="I1138" t="s">
        <v>54</v>
      </c>
      <c r="J1138" t="s">
        <v>2187</v>
      </c>
      <c r="K1138" t="s">
        <v>56</v>
      </c>
      <c r="L1138">
        <v>0</v>
      </c>
      <c r="M1138" t="s">
        <v>73</v>
      </c>
      <c r="N1138">
        <v>0</v>
      </c>
      <c r="O1138" t="s">
        <v>58</v>
      </c>
      <c r="P1138" t="s">
        <v>59</v>
      </c>
      <c r="Q1138" t="s">
        <v>216</v>
      </c>
      <c r="R1138" t="s">
        <v>2187</v>
      </c>
      <c r="S1138" s="1">
        <v>44399</v>
      </c>
      <c r="T1138" s="1">
        <v>44400</v>
      </c>
      <c r="U1138">
        <v>37501</v>
      </c>
      <c r="V1138" t="s">
        <v>61</v>
      </c>
      <c r="W1138" t="s">
        <v>2188</v>
      </c>
      <c r="X1138" s="1">
        <v>44406</v>
      </c>
      <c r="Y1138" t="s">
        <v>63</v>
      </c>
      <c r="Z1138">
        <v>52.16</v>
      </c>
      <c r="AA1138">
        <v>16</v>
      </c>
      <c r="AB1138">
        <v>2.34</v>
      </c>
      <c r="AC1138">
        <v>0</v>
      </c>
      <c r="AD1138">
        <v>54.5</v>
      </c>
      <c r="AE1138">
        <v>1556.5</v>
      </c>
      <c r="AF1138">
        <v>1636</v>
      </c>
      <c r="AG1138" t="s">
        <v>2167</v>
      </c>
      <c r="AH1138" t="s">
        <v>65</v>
      </c>
      <c r="AI1138" t="s">
        <v>65</v>
      </c>
      <c r="AJ1138" t="s">
        <v>66</v>
      </c>
      <c r="AK1138" t="s">
        <v>66</v>
      </c>
      <c r="AL1138" t="s">
        <v>66</v>
      </c>
      <c r="AM1138" s="2" t="str">
        <f>HYPERLINK("https://transparencia.cidesi.mx/comprobantes/2021/CQ2100565 /C5FACTURA_1627579605473_338972625.pdf")</f>
        <v>https://transparencia.cidesi.mx/comprobantes/2021/CQ2100565 /C5FACTURA_1627579605473_338972625.pdf</v>
      </c>
      <c r="AN1138" t="str">
        <f>HYPERLINK("https://transparencia.cidesi.mx/comprobantes/2021/CQ2100565 /C5FACTURA_1627579605473_338972625.pdf")</f>
        <v>https://transparencia.cidesi.mx/comprobantes/2021/CQ2100565 /C5FACTURA_1627579605473_338972625.pdf</v>
      </c>
      <c r="AO1138" t="str">
        <f>HYPERLINK("https://transparencia.cidesi.mx/comprobantes/2021/CQ2100565 /C5FACTURA_1627579604613_338972625.xml")</f>
        <v>https://transparencia.cidesi.mx/comprobantes/2021/CQ2100565 /C5FACTURA_1627579604613_338972625.xml</v>
      </c>
      <c r="AP1138" t="s">
        <v>2184</v>
      </c>
      <c r="AQ1138" t="s">
        <v>2189</v>
      </c>
      <c r="AR1138" t="s">
        <v>2190</v>
      </c>
      <c r="AS1138" t="s">
        <v>2171</v>
      </c>
      <c r="AT1138" s="1">
        <v>44407</v>
      </c>
      <c r="AU1138" s="1">
        <v>44411</v>
      </c>
    </row>
    <row r="1139" spans="1:47" x14ac:dyDescent="0.3">
      <c r="A1139" t="s">
        <v>47</v>
      </c>
      <c r="B1139" t="s">
        <v>224</v>
      </c>
      <c r="C1139" t="s">
        <v>225</v>
      </c>
      <c r="D1139">
        <v>100148</v>
      </c>
      <c r="E1139" t="s">
        <v>2162</v>
      </c>
      <c r="F1139" t="s">
        <v>692</v>
      </c>
      <c r="G1139" t="s">
        <v>2163</v>
      </c>
      <c r="H1139" t="s">
        <v>2192</v>
      </c>
      <c r="I1139" t="s">
        <v>54</v>
      </c>
      <c r="J1139" t="s">
        <v>2193</v>
      </c>
      <c r="K1139" t="s">
        <v>56</v>
      </c>
      <c r="L1139">
        <v>0</v>
      </c>
      <c r="M1139" t="s">
        <v>73</v>
      </c>
      <c r="N1139">
        <v>0</v>
      </c>
      <c r="O1139" t="s">
        <v>58</v>
      </c>
      <c r="P1139" t="s">
        <v>59</v>
      </c>
      <c r="Q1139" t="s">
        <v>252</v>
      </c>
      <c r="R1139" t="s">
        <v>2193</v>
      </c>
      <c r="S1139" s="1">
        <v>44414</v>
      </c>
      <c r="T1139" s="1">
        <v>44414</v>
      </c>
      <c r="U1139">
        <v>37501</v>
      </c>
      <c r="V1139" t="s">
        <v>61</v>
      </c>
      <c r="W1139" t="s">
        <v>2194</v>
      </c>
      <c r="X1139" s="1">
        <v>44418</v>
      </c>
      <c r="Y1139" t="s">
        <v>63</v>
      </c>
      <c r="Z1139">
        <v>34.479999999999997</v>
      </c>
      <c r="AA1139">
        <v>16</v>
      </c>
      <c r="AB1139">
        <v>5.52</v>
      </c>
      <c r="AC1139">
        <v>0</v>
      </c>
      <c r="AD1139">
        <v>40</v>
      </c>
      <c r="AE1139">
        <v>535</v>
      </c>
      <c r="AF1139">
        <v>545</v>
      </c>
      <c r="AG1139" t="s">
        <v>2167</v>
      </c>
      <c r="AH1139" t="s">
        <v>65</v>
      </c>
      <c r="AI1139" t="s">
        <v>65</v>
      </c>
      <c r="AJ1139" t="s">
        <v>66</v>
      </c>
      <c r="AK1139" t="s">
        <v>66</v>
      </c>
      <c r="AL1139" t="s">
        <v>66</v>
      </c>
      <c r="AM1139" s="2" t="str">
        <f>HYPERLINK("https://transparencia.cidesi.mx/comprobantes/2021/CQ2100628 /C1FACTURA_1628604158035_340430885.pdf")</f>
        <v>https://transparencia.cidesi.mx/comprobantes/2021/CQ2100628 /C1FACTURA_1628604158035_340430885.pdf</v>
      </c>
      <c r="AN1139" t="str">
        <f>HYPERLINK("https://transparencia.cidesi.mx/comprobantes/2021/CQ2100628 /C1FACTURA_1628604158035_340430885.pdf")</f>
        <v>https://transparencia.cidesi.mx/comprobantes/2021/CQ2100628 /C1FACTURA_1628604158035_340430885.pdf</v>
      </c>
      <c r="AO1139" t="str">
        <f>HYPERLINK("https://transparencia.cidesi.mx/comprobantes/2021/CQ2100628 /C1FACTURA_1628604156895_340430885.xml")</f>
        <v>https://transparencia.cidesi.mx/comprobantes/2021/CQ2100628 /C1FACTURA_1628604156895_340430885.xml</v>
      </c>
      <c r="AP1139" t="s">
        <v>2195</v>
      </c>
      <c r="AQ1139" t="s">
        <v>2196</v>
      </c>
      <c r="AR1139" t="s">
        <v>2197</v>
      </c>
      <c r="AS1139" t="s">
        <v>2198</v>
      </c>
      <c r="AT1139" s="1">
        <v>44421</v>
      </c>
      <c r="AU1139" s="1">
        <v>44425</v>
      </c>
    </row>
    <row r="1140" spans="1:47" x14ac:dyDescent="0.3">
      <c r="A1140" t="s">
        <v>47</v>
      </c>
      <c r="B1140" t="s">
        <v>224</v>
      </c>
      <c r="C1140" t="s">
        <v>225</v>
      </c>
      <c r="D1140">
        <v>100148</v>
      </c>
      <c r="E1140" t="s">
        <v>2162</v>
      </c>
      <c r="F1140" t="s">
        <v>692</v>
      </c>
      <c r="G1140" t="s">
        <v>2163</v>
      </c>
      <c r="H1140" t="s">
        <v>2192</v>
      </c>
      <c r="I1140" t="s">
        <v>54</v>
      </c>
      <c r="J1140" t="s">
        <v>2193</v>
      </c>
      <c r="K1140" t="s">
        <v>56</v>
      </c>
      <c r="L1140">
        <v>0</v>
      </c>
      <c r="M1140" t="s">
        <v>73</v>
      </c>
      <c r="N1140">
        <v>0</v>
      </c>
      <c r="O1140" t="s">
        <v>58</v>
      </c>
      <c r="P1140" t="s">
        <v>59</v>
      </c>
      <c r="Q1140" t="s">
        <v>252</v>
      </c>
      <c r="R1140" t="s">
        <v>2193</v>
      </c>
      <c r="S1140" s="1">
        <v>44414</v>
      </c>
      <c r="T1140" s="1">
        <v>44414</v>
      </c>
      <c r="U1140">
        <v>37501</v>
      </c>
      <c r="V1140" t="s">
        <v>61</v>
      </c>
      <c r="W1140" t="s">
        <v>2194</v>
      </c>
      <c r="X1140" s="1">
        <v>44418</v>
      </c>
      <c r="Y1140" t="s">
        <v>63</v>
      </c>
      <c r="Z1140">
        <v>387.93</v>
      </c>
      <c r="AA1140">
        <v>16</v>
      </c>
      <c r="AB1140">
        <v>62.07</v>
      </c>
      <c r="AC1140">
        <v>45</v>
      </c>
      <c r="AD1140">
        <v>495</v>
      </c>
      <c r="AE1140">
        <v>535</v>
      </c>
      <c r="AF1140">
        <v>545</v>
      </c>
      <c r="AG1140" t="s">
        <v>2167</v>
      </c>
      <c r="AH1140" t="s">
        <v>65</v>
      </c>
      <c r="AI1140" t="s">
        <v>65</v>
      </c>
      <c r="AJ1140" t="s">
        <v>66</v>
      </c>
      <c r="AK1140" t="s">
        <v>66</v>
      </c>
      <c r="AL1140" t="s">
        <v>66</v>
      </c>
      <c r="AM1140" s="2" t="str">
        <f>HYPERLINK("https://transparencia.cidesi.mx/comprobantes/2021/CQ2100628 /C2GEX0108298K9FB0000089878.pdf")</f>
        <v>https://transparencia.cidesi.mx/comprobantes/2021/CQ2100628 /C2GEX0108298K9FB0000089878.pdf</v>
      </c>
      <c r="AN1140" t="str">
        <f>HYPERLINK("https://transparencia.cidesi.mx/comprobantes/2021/CQ2100628 /C2GEX0108298K9FB0000089878.pdf")</f>
        <v>https://transparencia.cidesi.mx/comprobantes/2021/CQ2100628 /C2GEX0108298K9FB0000089878.pdf</v>
      </c>
      <c r="AO1140" t="str">
        <f>HYPERLINK("https://transparencia.cidesi.mx/comprobantes/2021/CQ2100628 /C2GEX0108298K9FB0000089878.xml")</f>
        <v>https://transparencia.cidesi.mx/comprobantes/2021/CQ2100628 /C2GEX0108298K9FB0000089878.xml</v>
      </c>
      <c r="AP1140" t="s">
        <v>2195</v>
      </c>
      <c r="AQ1140" t="s">
        <v>2196</v>
      </c>
      <c r="AR1140" t="s">
        <v>2197</v>
      </c>
      <c r="AS1140" t="s">
        <v>2198</v>
      </c>
      <c r="AT1140" s="1">
        <v>44421</v>
      </c>
      <c r="AU1140" s="1">
        <v>44425</v>
      </c>
    </row>
    <row r="1141" spans="1:47" x14ac:dyDescent="0.3">
      <c r="A1141" t="s">
        <v>47</v>
      </c>
      <c r="B1141" t="s">
        <v>224</v>
      </c>
      <c r="C1141" t="s">
        <v>225</v>
      </c>
      <c r="D1141">
        <v>100148</v>
      </c>
      <c r="E1141" t="s">
        <v>2162</v>
      </c>
      <c r="F1141" t="s">
        <v>692</v>
      </c>
      <c r="G1141" t="s">
        <v>2163</v>
      </c>
      <c r="H1141" t="s">
        <v>2199</v>
      </c>
      <c r="I1141" t="s">
        <v>54</v>
      </c>
      <c r="J1141" t="s">
        <v>2200</v>
      </c>
      <c r="K1141" t="s">
        <v>56</v>
      </c>
      <c r="L1141">
        <v>0</v>
      </c>
      <c r="M1141" t="s">
        <v>73</v>
      </c>
      <c r="N1141">
        <v>0</v>
      </c>
      <c r="O1141" t="s">
        <v>58</v>
      </c>
      <c r="P1141" t="s">
        <v>59</v>
      </c>
      <c r="Q1141" t="s">
        <v>216</v>
      </c>
      <c r="R1141" t="s">
        <v>2200</v>
      </c>
      <c r="S1141" s="1">
        <v>44418</v>
      </c>
      <c r="T1141" s="1">
        <v>44418</v>
      </c>
      <c r="U1141">
        <v>37501</v>
      </c>
      <c r="V1141" t="s">
        <v>61</v>
      </c>
      <c r="W1141" t="s">
        <v>2201</v>
      </c>
      <c r="X1141" s="1">
        <v>44418</v>
      </c>
      <c r="Y1141" t="s">
        <v>63</v>
      </c>
      <c r="Z1141">
        <v>377.59</v>
      </c>
      <c r="AA1141">
        <v>16</v>
      </c>
      <c r="AB1141">
        <v>60.41</v>
      </c>
      <c r="AC1141">
        <v>40</v>
      </c>
      <c r="AD1141">
        <v>478</v>
      </c>
      <c r="AE1141">
        <v>545</v>
      </c>
      <c r="AF1141">
        <v>545</v>
      </c>
      <c r="AG1141" t="s">
        <v>2167</v>
      </c>
      <c r="AH1141" t="s">
        <v>65</v>
      </c>
      <c r="AI1141" t="s">
        <v>65</v>
      </c>
      <c r="AJ1141" t="s">
        <v>66</v>
      </c>
      <c r="AK1141" t="s">
        <v>66</v>
      </c>
      <c r="AL1141" t="s">
        <v>66</v>
      </c>
      <c r="AM1141" s="2" t="str">
        <f>HYPERLINK("https://transparencia.cidesi.mx/comprobantes/2021/CQ2100641 /C1CID840309UG7F0000019110 (1).pdf")</f>
        <v>https://transparencia.cidesi.mx/comprobantes/2021/CQ2100641 /C1CID840309UG7F0000019110 (1).pdf</v>
      </c>
      <c r="AN1141" t="str">
        <f>HYPERLINK("https://transparencia.cidesi.mx/comprobantes/2021/CQ2100641 /C1CID840309UG7F0000019110 (1).pdf")</f>
        <v>https://transparencia.cidesi.mx/comprobantes/2021/CQ2100641 /C1CID840309UG7F0000019110 (1).pdf</v>
      </c>
      <c r="AO1141" t="str">
        <f>HYPERLINK("https://transparencia.cidesi.mx/comprobantes/2021/CQ2100641 /C1CID840309UG7F0000019110.xml")</f>
        <v>https://transparencia.cidesi.mx/comprobantes/2021/CQ2100641 /C1CID840309UG7F0000019110.xml</v>
      </c>
      <c r="AP1141" t="s">
        <v>2202</v>
      </c>
      <c r="AQ1141" t="s">
        <v>2203</v>
      </c>
      <c r="AR1141" t="s">
        <v>2204</v>
      </c>
      <c r="AS1141" t="s">
        <v>2205</v>
      </c>
      <c r="AT1141" s="1">
        <v>44424</v>
      </c>
      <c r="AU1141" s="1">
        <v>44425</v>
      </c>
    </row>
    <row r="1142" spans="1:47" x14ac:dyDescent="0.3">
      <c r="A1142" t="s">
        <v>47</v>
      </c>
      <c r="B1142" t="s">
        <v>224</v>
      </c>
      <c r="C1142" t="s">
        <v>225</v>
      </c>
      <c r="D1142">
        <v>100148</v>
      </c>
      <c r="E1142" t="s">
        <v>2162</v>
      </c>
      <c r="F1142" t="s">
        <v>692</v>
      </c>
      <c r="G1142" t="s">
        <v>2163</v>
      </c>
      <c r="H1142" t="s">
        <v>2199</v>
      </c>
      <c r="I1142" t="s">
        <v>54</v>
      </c>
      <c r="J1142" t="s">
        <v>2200</v>
      </c>
      <c r="K1142" t="s">
        <v>56</v>
      </c>
      <c r="L1142">
        <v>0</v>
      </c>
      <c r="M1142" t="s">
        <v>73</v>
      </c>
      <c r="N1142">
        <v>0</v>
      </c>
      <c r="O1142" t="s">
        <v>58</v>
      </c>
      <c r="P1142" t="s">
        <v>59</v>
      </c>
      <c r="Q1142" t="s">
        <v>216</v>
      </c>
      <c r="R1142" t="s">
        <v>2200</v>
      </c>
      <c r="S1142" s="1">
        <v>44418</v>
      </c>
      <c r="T1142" s="1">
        <v>44418</v>
      </c>
      <c r="U1142">
        <v>37501</v>
      </c>
      <c r="V1142" t="s">
        <v>61</v>
      </c>
      <c r="W1142" t="s">
        <v>2201</v>
      </c>
      <c r="X1142" s="1">
        <v>44418</v>
      </c>
      <c r="Y1142" t="s">
        <v>63</v>
      </c>
      <c r="Z1142">
        <v>60.93</v>
      </c>
      <c r="AA1142">
        <v>16</v>
      </c>
      <c r="AB1142">
        <v>6.07</v>
      </c>
      <c r="AC1142">
        <v>0</v>
      </c>
      <c r="AD1142">
        <v>67</v>
      </c>
      <c r="AE1142">
        <v>545</v>
      </c>
      <c r="AF1142">
        <v>545</v>
      </c>
      <c r="AG1142" t="s">
        <v>2167</v>
      </c>
      <c r="AH1142" t="s">
        <v>65</v>
      </c>
      <c r="AI1142" t="s">
        <v>65</v>
      </c>
      <c r="AJ1142" t="s">
        <v>66</v>
      </c>
      <c r="AK1142" t="s">
        <v>66</v>
      </c>
      <c r="AL1142" t="s">
        <v>66</v>
      </c>
      <c r="AM1142" s="2" t="str">
        <f>HYPERLINK("https://transparencia.cidesi.mx/comprobantes/2021/CQ2100641 /C2FACTURA_1628785598766_340664889.pdf")</f>
        <v>https://transparencia.cidesi.mx/comprobantes/2021/CQ2100641 /C2FACTURA_1628785598766_340664889.pdf</v>
      </c>
      <c r="AN1142" t="str">
        <f>HYPERLINK("https://transparencia.cidesi.mx/comprobantes/2021/CQ2100641 /C2FACTURA_1628785598766_340664889.pdf")</f>
        <v>https://transparencia.cidesi.mx/comprobantes/2021/CQ2100641 /C2FACTURA_1628785598766_340664889.pdf</v>
      </c>
      <c r="AO1142" t="str">
        <f>HYPERLINK("https://transparencia.cidesi.mx/comprobantes/2021/CQ2100641 /C2FACTURA_1628785598036_340664889.xml")</f>
        <v>https://transparencia.cidesi.mx/comprobantes/2021/CQ2100641 /C2FACTURA_1628785598036_340664889.xml</v>
      </c>
      <c r="AP1142" t="s">
        <v>2202</v>
      </c>
      <c r="AQ1142" t="s">
        <v>2203</v>
      </c>
      <c r="AR1142" t="s">
        <v>2204</v>
      </c>
      <c r="AS1142" t="s">
        <v>2205</v>
      </c>
      <c r="AT1142" s="1">
        <v>44424</v>
      </c>
      <c r="AU1142" s="1">
        <v>44425</v>
      </c>
    </row>
    <row r="1143" spans="1:47" x14ac:dyDescent="0.3">
      <c r="A1143" t="s">
        <v>47</v>
      </c>
      <c r="B1143" t="s">
        <v>224</v>
      </c>
      <c r="C1143" t="s">
        <v>225</v>
      </c>
      <c r="D1143">
        <v>100148</v>
      </c>
      <c r="E1143" t="s">
        <v>2162</v>
      </c>
      <c r="F1143" t="s">
        <v>692</v>
      </c>
      <c r="G1143" t="s">
        <v>2163</v>
      </c>
      <c r="H1143" t="s">
        <v>2206</v>
      </c>
      <c r="I1143" t="s">
        <v>54</v>
      </c>
      <c r="J1143" t="s">
        <v>2207</v>
      </c>
      <c r="K1143" t="s">
        <v>56</v>
      </c>
      <c r="L1143">
        <v>0</v>
      </c>
      <c r="M1143" t="s">
        <v>73</v>
      </c>
      <c r="N1143">
        <v>0</v>
      </c>
      <c r="O1143" t="s">
        <v>58</v>
      </c>
      <c r="P1143" t="s">
        <v>59</v>
      </c>
      <c r="Q1143" t="s">
        <v>216</v>
      </c>
      <c r="R1143" t="s">
        <v>2207</v>
      </c>
      <c r="S1143" s="1">
        <v>44446</v>
      </c>
      <c r="T1143" s="1">
        <v>44446</v>
      </c>
      <c r="U1143">
        <v>37501</v>
      </c>
      <c r="V1143" t="s">
        <v>61</v>
      </c>
      <c r="W1143" t="s">
        <v>2208</v>
      </c>
      <c r="X1143" s="1">
        <v>44449</v>
      </c>
      <c r="Y1143" t="s">
        <v>63</v>
      </c>
      <c r="Z1143">
        <v>84.9</v>
      </c>
      <c r="AA1143">
        <v>0</v>
      </c>
      <c r="AB1143">
        <v>0</v>
      </c>
      <c r="AC1143">
        <v>0</v>
      </c>
      <c r="AD1143">
        <v>84.9</v>
      </c>
      <c r="AE1143">
        <v>484.2</v>
      </c>
      <c r="AF1143">
        <v>545</v>
      </c>
      <c r="AG1143" t="s">
        <v>2167</v>
      </c>
      <c r="AH1143" t="s">
        <v>65</v>
      </c>
      <c r="AI1143" t="s">
        <v>65</v>
      </c>
      <c r="AJ1143" t="s">
        <v>66</v>
      </c>
      <c r="AK1143" t="s">
        <v>66</v>
      </c>
      <c r="AL1143" t="s">
        <v>66</v>
      </c>
      <c r="AM1143" s="2" t="str">
        <f>HYPERLINK("https://transparencia.cidesi.mx/comprobantes/2021/CQ2100788 /C1FACTURA_1631539592115_344535061.pdf")</f>
        <v>https://transparencia.cidesi.mx/comprobantes/2021/CQ2100788 /C1FACTURA_1631539592115_344535061.pdf</v>
      </c>
      <c r="AN1143" t="str">
        <f>HYPERLINK("https://transparencia.cidesi.mx/comprobantes/2021/CQ2100788 /C1FACTURA_1631539592115_344535061.pdf")</f>
        <v>https://transparencia.cidesi.mx/comprobantes/2021/CQ2100788 /C1FACTURA_1631539592115_344535061.pdf</v>
      </c>
      <c r="AO1143" t="str">
        <f>HYPERLINK("https://transparencia.cidesi.mx/comprobantes/2021/CQ2100788 /C1FACTURA_1631539591036_344535061.xml")</f>
        <v>https://transparencia.cidesi.mx/comprobantes/2021/CQ2100788 /C1FACTURA_1631539591036_344535061.xml</v>
      </c>
      <c r="AP1143" t="s">
        <v>2209</v>
      </c>
      <c r="AQ1143" t="s">
        <v>2210</v>
      </c>
      <c r="AR1143" t="s">
        <v>2211</v>
      </c>
      <c r="AS1143" t="s">
        <v>2212</v>
      </c>
      <c r="AT1143" s="1">
        <v>44453</v>
      </c>
      <c r="AU1143" s="1">
        <v>44467</v>
      </c>
    </row>
    <row r="1144" spans="1:47" x14ac:dyDescent="0.3">
      <c r="A1144" t="s">
        <v>47</v>
      </c>
      <c r="B1144" t="s">
        <v>224</v>
      </c>
      <c r="C1144" t="s">
        <v>225</v>
      </c>
      <c r="D1144">
        <v>100148</v>
      </c>
      <c r="E1144" t="s">
        <v>2162</v>
      </c>
      <c r="F1144" t="s">
        <v>692</v>
      </c>
      <c r="G1144" t="s">
        <v>2163</v>
      </c>
      <c r="H1144" t="s">
        <v>2206</v>
      </c>
      <c r="I1144" t="s">
        <v>54</v>
      </c>
      <c r="J1144" t="s">
        <v>2207</v>
      </c>
      <c r="K1144" t="s">
        <v>56</v>
      </c>
      <c r="L1144">
        <v>0</v>
      </c>
      <c r="M1144" t="s">
        <v>73</v>
      </c>
      <c r="N1144">
        <v>0</v>
      </c>
      <c r="O1144" t="s">
        <v>58</v>
      </c>
      <c r="P1144" t="s">
        <v>59</v>
      </c>
      <c r="Q1144" t="s">
        <v>216</v>
      </c>
      <c r="R1144" t="s">
        <v>2207</v>
      </c>
      <c r="S1144" s="1">
        <v>44446</v>
      </c>
      <c r="T1144" s="1">
        <v>44446</v>
      </c>
      <c r="U1144">
        <v>37501</v>
      </c>
      <c r="V1144" t="s">
        <v>61</v>
      </c>
      <c r="W1144" t="s">
        <v>2208</v>
      </c>
      <c r="X1144" s="1">
        <v>44449</v>
      </c>
      <c r="Y1144" t="s">
        <v>63</v>
      </c>
      <c r="Z1144">
        <v>312.94</v>
      </c>
      <c r="AA1144">
        <v>16</v>
      </c>
      <c r="AB1144">
        <v>50.07</v>
      </c>
      <c r="AC1144">
        <v>36.29</v>
      </c>
      <c r="AD1144">
        <v>399.3</v>
      </c>
      <c r="AE1144">
        <v>484.2</v>
      </c>
      <c r="AF1144">
        <v>545</v>
      </c>
      <c r="AG1144" t="s">
        <v>2167</v>
      </c>
      <c r="AH1144" t="s">
        <v>65</v>
      </c>
      <c r="AI1144" t="s">
        <v>65</v>
      </c>
      <c r="AJ1144" t="s">
        <v>66</v>
      </c>
      <c r="AK1144" t="s">
        <v>66</v>
      </c>
      <c r="AL1144" t="s">
        <v>66</v>
      </c>
      <c r="AM1144" s="2" t="str">
        <f>HYPERLINK("https://transparencia.cidesi.mx/comprobantes/2021/CQ2100788 /C2152D25D5-7FB8-4A0B-8AD8-2ED7414F844D.pdf")</f>
        <v>https://transparencia.cidesi.mx/comprobantes/2021/CQ2100788 /C2152D25D5-7FB8-4A0B-8AD8-2ED7414F844D.pdf</v>
      </c>
      <c r="AN1144" t="str">
        <f>HYPERLINK("https://transparencia.cidesi.mx/comprobantes/2021/CQ2100788 /C2152D25D5-7FB8-4A0B-8AD8-2ED7414F844D.pdf")</f>
        <v>https://transparencia.cidesi.mx/comprobantes/2021/CQ2100788 /C2152D25D5-7FB8-4A0B-8AD8-2ED7414F844D.pdf</v>
      </c>
      <c r="AO1144" t="str">
        <f>HYPERLINK("https://transparencia.cidesi.mx/comprobantes/2021/CQ2100788 /C2152D25D5-7FB8-4A0B-8AD8-2ED7414F844D.xml")</f>
        <v>https://transparencia.cidesi.mx/comprobantes/2021/CQ2100788 /C2152D25D5-7FB8-4A0B-8AD8-2ED7414F844D.xml</v>
      </c>
      <c r="AP1144" t="s">
        <v>2209</v>
      </c>
      <c r="AQ1144" t="s">
        <v>2210</v>
      </c>
      <c r="AR1144" t="s">
        <v>2211</v>
      </c>
      <c r="AS1144" t="s">
        <v>2212</v>
      </c>
      <c r="AT1144" s="1">
        <v>44453</v>
      </c>
      <c r="AU1144" s="1">
        <v>44467</v>
      </c>
    </row>
    <row r="1145" spans="1:47" x14ac:dyDescent="0.3">
      <c r="A1145" t="s">
        <v>47</v>
      </c>
      <c r="B1145" t="s">
        <v>224</v>
      </c>
      <c r="C1145" t="s">
        <v>225</v>
      </c>
      <c r="D1145">
        <v>100148</v>
      </c>
      <c r="E1145" t="s">
        <v>2162</v>
      </c>
      <c r="F1145" t="s">
        <v>692</v>
      </c>
      <c r="G1145" t="s">
        <v>2163</v>
      </c>
      <c r="H1145" t="s">
        <v>2213</v>
      </c>
      <c r="I1145" t="s">
        <v>54</v>
      </c>
      <c r="J1145" t="s">
        <v>2207</v>
      </c>
      <c r="K1145" t="s">
        <v>56</v>
      </c>
      <c r="L1145">
        <v>0</v>
      </c>
      <c r="M1145" t="s">
        <v>73</v>
      </c>
      <c r="N1145">
        <v>0</v>
      </c>
      <c r="O1145" t="s">
        <v>58</v>
      </c>
      <c r="P1145" t="s">
        <v>59</v>
      </c>
      <c r="Q1145" t="s">
        <v>216</v>
      </c>
      <c r="R1145" t="s">
        <v>2207</v>
      </c>
      <c r="S1145" s="1">
        <v>44447</v>
      </c>
      <c r="T1145" s="1">
        <v>44447</v>
      </c>
      <c r="U1145">
        <v>37501</v>
      </c>
      <c r="V1145" t="s">
        <v>61</v>
      </c>
      <c r="W1145" t="s">
        <v>2214</v>
      </c>
      <c r="X1145" s="1">
        <v>44452</v>
      </c>
      <c r="Y1145" t="s">
        <v>63</v>
      </c>
      <c r="Z1145">
        <v>101.4</v>
      </c>
      <c r="AA1145">
        <v>0</v>
      </c>
      <c r="AB1145">
        <v>0</v>
      </c>
      <c r="AC1145">
        <v>0</v>
      </c>
      <c r="AD1145">
        <v>101.4</v>
      </c>
      <c r="AE1145">
        <v>511.7</v>
      </c>
      <c r="AF1145">
        <v>545</v>
      </c>
      <c r="AG1145" t="s">
        <v>2167</v>
      </c>
      <c r="AH1145" t="s">
        <v>65</v>
      </c>
      <c r="AI1145" t="s">
        <v>65</v>
      </c>
      <c r="AJ1145" t="s">
        <v>66</v>
      </c>
      <c r="AK1145" t="s">
        <v>66</v>
      </c>
      <c r="AL1145" t="s">
        <v>66</v>
      </c>
      <c r="AM1145" s="2" t="str">
        <f>HYPERLINK("https://transparencia.cidesi.mx/comprobantes/2021/CQ2100796 /C1FACTURA_1631564261785_344606795.pdf")</f>
        <v>https://transparencia.cidesi.mx/comprobantes/2021/CQ2100796 /C1FACTURA_1631564261785_344606795.pdf</v>
      </c>
      <c r="AN1145" t="str">
        <f>HYPERLINK("https://transparencia.cidesi.mx/comprobantes/2021/CQ2100796 /C1FACTURA_1631564261785_344606795.pdf")</f>
        <v>https://transparencia.cidesi.mx/comprobantes/2021/CQ2100796 /C1FACTURA_1631564261785_344606795.pdf</v>
      </c>
      <c r="AO1145" t="str">
        <f>HYPERLINK("https://transparencia.cidesi.mx/comprobantes/2021/CQ2100796 /C1FACTURA_1631564260605_344606795.xml")</f>
        <v>https://transparencia.cidesi.mx/comprobantes/2021/CQ2100796 /C1FACTURA_1631564260605_344606795.xml</v>
      </c>
      <c r="AP1145" t="s">
        <v>2215</v>
      </c>
      <c r="AQ1145" t="s">
        <v>2216</v>
      </c>
      <c r="AR1145" t="s">
        <v>2217</v>
      </c>
      <c r="AS1145" t="s">
        <v>2212</v>
      </c>
      <c r="AT1145" s="1">
        <v>44453</v>
      </c>
      <c r="AU1145" s="1">
        <v>44467</v>
      </c>
    </row>
    <row r="1146" spans="1:47" x14ac:dyDescent="0.3">
      <c r="A1146" t="s">
        <v>47</v>
      </c>
      <c r="B1146" t="s">
        <v>224</v>
      </c>
      <c r="C1146" t="s">
        <v>225</v>
      </c>
      <c r="D1146">
        <v>100148</v>
      </c>
      <c r="E1146" t="s">
        <v>2162</v>
      </c>
      <c r="F1146" t="s">
        <v>692</v>
      </c>
      <c r="G1146" t="s">
        <v>2163</v>
      </c>
      <c r="H1146" t="s">
        <v>2213</v>
      </c>
      <c r="I1146" t="s">
        <v>54</v>
      </c>
      <c r="J1146" t="s">
        <v>2207</v>
      </c>
      <c r="K1146" t="s">
        <v>56</v>
      </c>
      <c r="L1146">
        <v>0</v>
      </c>
      <c r="M1146" t="s">
        <v>73</v>
      </c>
      <c r="N1146">
        <v>0</v>
      </c>
      <c r="O1146" t="s">
        <v>58</v>
      </c>
      <c r="P1146" t="s">
        <v>59</v>
      </c>
      <c r="Q1146" t="s">
        <v>216</v>
      </c>
      <c r="R1146" t="s">
        <v>2207</v>
      </c>
      <c r="S1146" s="1">
        <v>44447</v>
      </c>
      <c r="T1146" s="1">
        <v>44447</v>
      </c>
      <c r="U1146">
        <v>37501</v>
      </c>
      <c r="V1146" t="s">
        <v>61</v>
      </c>
      <c r="W1146" t="s">
        <v>2214</v>
      </c>
      <c r="X1146" s="1">
        <v>44452</v>
      </c>
      <c r="Y1146" t="s">
        <v>63</v>
      </c>
      <c r="Z1146">
        <v>321.56</v>
      </c>
      <c r="AA1146">
        <v>16</v>
      </c>
      <c r="AB1146">
        <v>51.44</v>
      </c>
      <c r="AC1146">
        <v>37.299999999999997</v>
      </c>
      <c r="AD1146">
        <v>410.3</v>
      </c>
      <c r="AE1146">
        <v>511.7</v>
      </c>
      <c r="AF1146">
        <v>545</v>
      </c>
      <c r="AG1146" t="s">
        <v>2167</v>
      </c>
      <c r="AH1146" t="s">
        <v>65</v>
      </c>
      <c r="AI1146" t="s">
        <v>65</v>
      </c>
      <c r="AJ1146" t="s">
        <v>66</v>
      </c>
      <c r="AK1146" t="s">
        <v>66</v>
      </c>
      <c r="AL1146" t="s">
        <v>66</v>
      </c>
      <c r="AM1146" s="2" t="str">
        <f>HYPERLINK("https://transparencia.cidesi.mx/comprobantes/2021/CQ2100796 /C2E6DD5501-5354-449C-BA82-E2F94B1BBB4C.pdf")</f>
        <v>https://transparencia.cidesi.mx/comprobantes/2021/CQ2100796 /C2E6DD5501-5354-449C-BA82-E2F94B1BBB4C.pdf</v>
      </c>
      <c r="AN1146" t="str">
        <f>HYPERLINK("https://transparencia.cidesi.mx/comprobantes/2021/CQ2100796 /C2E6DD5501-5354-449C-BA82-E2F94B1BBB4C.pdf")</f>
        <v>https://transparencia.cidesi.mx/comprobantes/2021/CQ2100796 /C2E6DD5501-5354-449C-BA82-E2F94B1BBB4C.pdf</v>
      </c>
      <c r="AO1146" t="str">
        <f>HYPERLINK("https://transparencia.cidesi.mx/comprobantes/2021/CQ2100796 /C2E6DD5501-5354-449C-BA82-E2F94B1BBB4C.xml")</f>
        <v>https://transparencia.cidesi.mx/comprobantes/2021/CQ2100796 /C2E6DD5501-5354-449C-BA82-E2F94B1BBB4C.xml</v>
      </c>
      <c r="AP1146" t="s">
        <v>2215</v>
      </c>
      <c r="AQ1146" t="s">
        <v>2216</v>
      </c>
      <c r="AR1146" t="s">
        <v>2217</v>
      </c>
      <c r="AS1146" t="s">
        <v>2212</v>
      </c>
      <c r="AT1146" s="1">
        <v>44453</v>
      </c>
      <c r="AU1146" s="1">
        <v>44467</v>
      </c>
    </row>
    <row r="1147" spans="1:47" x14ac:dyDescent="0.3">
      <c r="A1147" t="s">
        <v>47</v>
      </c>
      <c r="B1147" t="s">
        <v>224</v>
      </c>
      <c r="C1147" t="s">
        <v>225</v>
      </c>
      <c r="D1147">
        <v>100148</v>
      </c>
      <c r="E1147" t="s">
        <v>2162</v>
      </c>
      <c r="F1147" t="s">
        <v>692</v>
      </c>
      <c r="G1147" t="s">
        <v>2163</v>
      </c>
      <c r="H1147" t="s">
        <v>2218</v>
      </c>
      <c r="I1147" t="s">
        <v>54</v>
      </c>
      <c r="J1147" t="s">
        <v>2207</v>
      </c>
      <c r="K1147" t="s">
        <v>56</v>
      </c>
      <c r="L1147">
        <v>0</v>
      </c>
      <c r="M1147" t="s">
        <v>73</v>
      </c>
      <c r="N1147">
        <v>0</v>
      </c>
      <c r="O1147" t="s">
        <v>58</v>
      </c>
      <c r="P1147" t="s">
        <v>59</v>
      </c>
      <c r="Q1147" t="s">
        <v>216</v>
      </c>
      <c r="R1147" t="s">
        <v>2207</v>
      </c>
      <c r="S1147" s="1">
        <v>44448</v>
      </c>
      <c r="T1147" s="1">
        <v>44448</v>
      </c>
      <c r="U1147">
        <v>37501</v>
      </c>
      <c r="V1147" t="s">
        <v>61</v>
      </c>
      <c r="W1147" t="s">
        <v>2219</v>
      </c>
      <c r="X1147" s="1">
        <v>44452</v>
      </c>
      <c r="Y1147" t="s">
        <v>63</v>
      </c>
      <c r="Z1147">
        <v>96</v>
      </c>
      <c r="AA1147">
        <v>0</v>
      </c>
      <c r="AB1147">
        <v>0</v>
      </c>
      <c r="AC1147">
        <v>0</v>
      </c>
      <c r="AD1147">
        <v>96</v>
      </c>
      <c r="AE1147">
        <v>507.12</v>
      </c>
      <c r="AF1147">
        <v>545</v>
      </c>
      <c r="AG1147" t="s">
        <v>2167</v>
      </c>
      <c r="AH1147" t="s">
        <v>65</v>
      </c>
      <c r="AI1147" t="s">
        <v>65</v>
      </c>
      <c r="AJ1147" t="s">
        <v>66</v>
      </c>
      <c r="AK1147" t="s">
        <v>66</v>
      </c>
      <c r="AL1147" t="s">
        <v>66</v>
      </c>
      <c r="AM1147" s="2" t="str">
        <f>HYPERLINK("https://transparencia.cidesi.mx/comprobantes/2021/CQ2100797 /C1FACTURA_1631564486725_344607275.pdf")</f>
        <v>https://transparencia.cidesi.mx/comprobantes/2021/CQ2100797 /C1FACTURA_1631564486725_344607275.pdf</v>
      </c>
      <c r="AN1147" t="str">
        <f>HYPERLINK("https://transparencia.cidesi.mx/comprobantes/2021/CQ2100797 /C1FACTURA_1631564486725_344607275.pdf")</f>
        <v>https://transparencia.cidesi.mx/comprobantes/2021/CQ2100797 /C1FACTURA_1631564486725_344607275.pdf</v>
      </c>
      <c r="AO1147" t="str">
        <f>HYPERLINK("https://transparencia.cidesi.mx/comprobantes/2021/CQ2100797 /C1FACTURA_1631564485705_344607275.xml")</f>
        <v>https://transparencia.cidesi.mx/comprobantes/2021/CQ2100797 /C1FACTURA_1631564485705_344607275.xml</v>
      </c>
      <c r="AP1147" t="s">
        <v>2220</v>
      </c>
      <c r="AQ1147" t="s">
        <v>2221</v>
      </c>
      <c r="AR1147" t="s">
        <v>2222</v>
      </c>
      <c r="AS1147" t="s">
        <v>2212</v>
      </c>
      <c r="AT1147" s="1">
        <v>44453</v>
      </c>
      <c r="AU1147" s="1">
        <v>44467</v>
      </c>
    </row>
    <row r="1148" spans="1:47" x14ac:dyDescent="0.3">
      <c r="A1148" t="s">
        <v>47</v>
      </c>
      <c r="B1148" t="s">
        <v>224</v>
      </c>
      <c r="C1148" t="s">
        <v>225</v>
      </c>
      <c r="D1148">
        <v>100148</v>
      </c>
      <c r="E1148" t="s">
        <v>2162</v>
      </c>
      <c r="F1148" t="s">
        <v>692</v>
      </c>
      <c r="G1148" t="s">
        <v>2163</v>
      </c>
      <c r="H1148" t="s">
        <v>2218</v>
      </c>
      <c r="I1148" t="s">
        <v>54</v>
      </c>
      <c r="J1148" t="s">
        <v>2207</v>
      </c>
      <c r="K1148" t="s">
        <v>56</v>
      </c>
      <c r="L1148">
        <v>0</v>
      </c>
      <c r="M1148" t="s">
        <v>73</v>
      </c>
      <c r="N1148">
        <v>0</v>
      </c>
      <c r="O1148" t="s">
        <v>58</v>
      </c>
      <c r="P1148" t="s">
        <v>59</v>
      </c>
      <c r="Q1148" t="s">
        <v>216</v>
      </c>
      <c r="R1148" t="s">
        <v>2207</v>
      </c>
      <c r="S1148" s="1">
        <v>44448</v>
      </c>
      <c r="T1148" s="1">
        <v>44448</v>
      </c>
      <c r="U1148">
        <v>37501</v>
      </c>
      <c r="V1148" t="s">
        <v>61</v>
      </c>
      <c r="W1148" t="s">
        <v>2219</v>
      </c>
      <c r="X1148" s="1">
        <v>44452</v>
      </c>
      <c r="Y1148" t="s">
        <v>63</v>
      </c>
      <c r="Z1148">
        <v>322.2</v>
      </c>
      <c r="AA1148">
        <v>16</v>
      </c>
      <c r="AB1148">
        <v>51.55</v>
      </c>
      <c r="AC1148">
        <v>37.369999999999997</v>
      </c>
      <c r="AD1148">
        <v>411.12</v>
      </c>
      <c r="AE1148">
        <v>507.12</v>
      </c>
      <c r="AF1148">
        <v>545</v>
      </c>
      <c r="AG1148" t="s">
        <v>2167</v>
      </c>
      <c r="AH1148" t="s">
        <v>65</v>
      </c>
      <c r="AI1148" t="s">
        <v>65</v>
      </c>
      <c r="AJ1148" t="s">
        <v>66</v>
      </c>
      <c r="AK1148" t="s">
        <v>66</v>
      </c>
      <c r="AL1148" t="s">
        <v>66</v>
      </c>
      <c r="AM1148" s="2" t="str">
        <f>HYPERLINK("https://transparencia.cidesi.mx/comprobantes/2021/CQ2100797 /C2E35BE5B3-61B6-47F4-9DCB-5AF0DDB61666.pdf")</f>
        <v>https://transparencia.cidesi.mx/comprobantes/2021/CQ2100797 /C2E35BE5B3-61B6-47F4-9DCB-5AF0DDB61666.pdf</v>
      </c>
      <c r="AN1148" t="str">
        <f>HYPERLINK("https://transparencia.cidesi.mx/comprobantes/2021/CQ2100797 /C2E35BE5B3-61B6-47F4-9DCB-5AF0DDB61666.pdf")</f>
        <v>https://transparencia.cidesi.mx/comprobantes/2021/CQ2100797 /C2E35BE5B3-61B6-47F4-9DCB-5AF0DDB61666.pdf</v>
      </c>
      <c r="AO1148" t="str">
        <f>HYPERLINK("https://transparencia.cidesi.mx/comprobantes/2021/CQ2100797 /C2E35BE5B3-61B6-47F4-9DCB-5AF0DDB61666.xml")</f>
        <v>https://transparencia.cidesi.mx/comprobantes/2021/CQ2100797 /C2E35BE5B3-61B6-47F4-9DCB-5AF0DDB61666.xml</v>
      </c>
      <c r="AP1148" t="s">
        <v>2220</v>
      </c>
      <c r="AQ1148" t="s">
        <v>2221</v>
      </c>
      <c r="AR1148" t="s">
        <v>2222</v>
      </c>
      <c r="AS1148" t="s">
        <v>2212</v>
      </c>
      <c r="AT1148" s="1">
        <v>44453</v>
      </c>
      <c r="AU1148" s="1">
        <v>44467</v>
      </c>
    </row>
    <row r="1149" spans="1:47" x14ac:dyDescent="0.3">
      <c r="A1149" t="s">
        <v>47</v>
      </c>
      <c r="B1149" t="s">
        <v>224</v>
      </c>
      <c r="C1149" t="s">
        <v>225</v>
      </c>
      <c r="D1149">
        <v>100148</v>
      </c>
      <c r="E1149" t="s">
        <v>2162</v>
      </c>
      <c r="F1149" t="s">
        <v>692</v>
      </c>
      <c r="G1149" t="s">
        <v>2163</v>
      </c>
      <c r="H1149" t="s">
        <v>2223</v>
      </c>
      <c r="I1149" t="s">
        <v>54</v>
      </c>
      <c r="J1149" t="s">
        <v>2207</v>
      </c>
      <c r="K1149" t="s">
        <v>56</v>
      </c>
      <c r="L1149">
        <v>0</v>
      </c>
      <c r="M1149" t="s">
        <v>73</v>
      </c>
      <c r="N1149">
        <v>0</v>
      </c>
      <c r="O1149" t="s">
        <v>58</v>
      </c>
      <c r="P1149" t="s">
        <v>59</v>
      </c>
      <c r="Q1149" t="s">
        <v>216</v>
      </c>
      <c r="R1149" t="s">
        <v>2207</v>
      </c>
      <c r="S1149" s="1">
        <v>44449</v>
      </c>
      <c r="T1149" s="1">
        <v>44449</v>
      </c>
      <c r="U1149">
        <v>37501</v>
      </c>
      <c r="V1149" t="s">
        <v>61</v>
      </c>
      <c r="W1149" t="s">
        <v>2224</v>
      </c>
      <c r="X1149" s="1">
        <v>44452</v>
      </c>
      <c r="Y1149" t="s">
        <v>63</v>
      </c>
      <c r="Z1149">
        <v>46</v>
      </c>
      <c r="AA1149">
        <v>0</v>
      </c>
      <c r="AB1149">
        <v>0</v>
      </c>
      <c r="AC1149">
        <v>0</v>
      </c>
      <c r="AD1149">
        <v>46</v>
      </c>
      <c r="AE1149">
        <v>504.5</v>
      </c>
      <c r="AF1149">
        <v>545</v>
      </c>
      <c r="AG1149" t="s">
        <v>2167</v>
      </c>
      <c r="AH1149" t="s">
        <v>65</v>
      </c>
      <c r="AI1149" t="s">
        <v>65</v>
      </c>
      <c r="AJ1149" t="s">
        <v>66</v>
      </c>
      <c r="AK1149" t="s">
        <v>66</v>
      </c>
      <c r="AL1149" t="s">
        <v>66</v>
      </c>
      <c r="AM1149" s="2" t="str">
        <f>HYPERLINK("https://transparencia.cidesi.mx/comprobantes/2021/CQ2100798 /C1FACTURA_1631564678206_344608695.pdf")</f>
        <v>https://transparencia.cidesi.mx/comprobantes/2021/CQ2100798 /C1FACTURA_1631564678206_344608695.pdf</v>
      </c>
      <c r="AN1149" t="str">
        <f>HYPERLINK("https://transparencia.cidesi.mx/comprobantes/2021/CQ2100798 /C1FACTURA_1631564678206_344608695.pdf")</f>
        <v>https://transparencia.cidesi.mx/comprobantes/2021/CQ2100798 /C1FACTURA_1631564678206_344608695.pdf</v>
      </c>
      <c r="AO1149" t="str">
        <f>HYPERLINK("https://transparencia.cidesi.mx/comprobantes/2021/CQ2100798 /C1FACTURA_1631564676886_344608695.xml")</f>
        <v>https://transparencia.cidesi.mx/comprobantes/2021/CQ2100798 /C1FACTURA_1631564676886_344608695.xml</v>
      </c>
      <c r="AP1149" t="s">
        <v>2225</v>
      </c>
      <c r="AQ1149" t="s">
        <v>2226</v>
      </c>
      <c r="AR1149" t="s">
        <v>2197</v>
      </c>
      <c r="AS1149" t="s">
        <v>2212</v>
      </c>
      <c r="AT1149" s="1">
        <v>44453</v>
      </c>
      <c r="AU1149" s="1">
        <v>44467</v>
      </c>
    </row>
    <row r="1150" spans="1:47" x14ac:dyDescent="0.3">
      <c r="A1150" t="s">
        <v>47</v>
      </c>
      <c r="B1150" t="s">
        <v>224</v>
      </c>
      <c r="C1150" t="s">
        <v>225</v>
      </c>
      <c r="D1150">
        <v>100148</v>
      </c>
      <c r="E1150" t="s">
        <v>2162</v>
      </c>
      <c r="F1150" t="s">
        <v>692</v>
      </c>
      <c r="G1150" t="s">
        <v>2163</v>
      </c>
      <c r="H1150" t="s">
        <v>2223</v>
      </c>
      <c r="I1150" t="s">
        <v>54</v>
      </c>
      <c r="J1150" t="s">
        <v>2207</v>
      </c>
      <c r="K1150" t="s">
        <v>56</v>
      </c>
      <c r="L1150">
        <v>0</v>
      </c>
      <c r="M1150" t="s">
        <v>73</v>
      </c>
      <c r="N1150">
        <v>0</v>
      </c>
      <c r="O1150" t="s">
        <v>58</v>
      </c>
      <c r="P1150" t="s">
        <v>59</v>
      </c>
      <c r="Q1150" t="s">
        <v>216</v>
      </c>
      <c r="R1150" t="s">
        <v>2207</v>
      </c>
      <c r="S1150" s="1">
        <v>44449</v>
      </c>
      <c r="T1150" s="1">
        <v>44449</v>
      </c>
      <c r="U1150">
        <v>37501</v>
      </c>
      <c r="V1150" t="s">
        <v>61</v>
      </c>
      <c r="W1150" t="s">
        <v>2224</v>
      </c>
      <c r="X1150" s="1">
        <v>44452</v>
      </c>
      <c r="Y1150" t="s">
        <v>63</v>
      </c>
      <c r="Z1150">
        <v>86.62</v>
      </c>
      <c r="AA1150">
        <v>16</v>
      </c>
      <c r="AB1150">
        <v>3.38</v>
      </c>
      <c r="AC1150">
        <v>0</v>
      </c>
      <c r="AD1150">
        <v>90</v>
      </c>
      <c r="AE1150">
        <v>504.5</v>
      </c>
      <c r="AF1150">
        <v>545</v>
      </c>
      <c r="AG1150" t="s">
        <v>2167</v>
      </c>
      <c r="AH1150" t="s">
        <v>65</v>
      </c>
      <c r="AI1150" t="s">
        <v>65</v>
      </c>
      <c r="AJ1150" t="s">
        <v>66</v>
      </c>
      <c r="AK1150" t="s">
        <v>66</v>
      </c>
      <c r="AL1150" t="s">
        <v>66</v>
      </c>
      <c r="AM1150" s="2" t="str">
        <f>HYPERLINK("https://transparencia.cidesi.mx/comprobantes/2021/CQ2100798 /C2FACTURA_1631564792766_344608905.pdf")</f>
        <v>https://transparencia.cidesi.mx/comprobantes/2021/CQ2100798 /C2FACTURA_1631564792766_344608905.pdf</v>
      </c>
      <c r="AN1150" t="str">
        <f>HYPERLINK("https://transparencia.cidesi.mx/comprobantes/2021/CQ2100798 /C2FACTURA_1631564792766_344608905.pdf")</f>
        <v>https://transparencia.cidesi.mx/comprobantes/2021/CQ2100798 /C2FACTURA_1631564792766_344608905.pdf</v>
      </c>
      <c r="AO1150" t="str">
        <f>HYPERLINK("https://transparencia.cidesi.mx/comprobantes/2021/CQ2100798 /C2FACTURA_1631564791566_344608905.xml")</f>
        <v>https://transparencia.cidesi.mx/comprobantes/2021/CQ2100798 /C2FACTURA_1631564791566_344608905.xml</v>
      </c>
      <c r="AP1150" t="s">
        <v>2225</v>
      </c>
      <c r="AQ1150" t="s">
        <v>2226</v>
      </c>
      <c r="AR1150" t="s">
        <v>2197</v>
      </c>
      <c r="AS1150" t="s">
        <v>2212</v>
      </c>
      <c r="AT1150" s="1">
        <v>44453</v>
      </c>
      <c r="AU1150" s="1">
        <v>44467</v>
      </c>
    </row>
    <row r="1151" spans="1:47" x14ac:dyDescent="0.3">
      <c r="A1151" t="s">
        <v>47</v>
      </c>
      <c r="B1151" t="s">
        <v>224</v>
      </c>
      <c r="C1151" t="s">
        <v>225</v>
      </c>
      <c r="D1151">
        <v>100148</v>
      </c>
      <c r="E1151" t="s">
        <v>2162</v>
      </c>
      <c r="F1151" t="s">
        <v>692</v>
      </c>
      <c r="G1151" t="s">
        <v>2163</v>
      </c>
      <c r="H1151" t="s">
        <v>2223</v>
      </c>
      <c r="I1151" t="s">
        <v>54</v>
      </c>
      <c r="J1151" t="s">
        <v>2207</v>
      </c>
      <c r="K1151" t="s">
        <v>56</v>
      </c>
      <c r="L1151">
        <v>0</v>
      </c>
      <c r="M1151" t="s">
        <v>73</v>
      </c>
      <c r="N1151">
        <v>0</v>
      </c>
      <c r="O1151" t="s">
        <v>58</v>
      </c>
      <c r="P1151" t="s">
        <v>59</v>
      </c>
      <c r="Q1151" t="s">
        <v>216</v>
      </c>
      <c r="R1151" t="s">
        <v>2207</v>
      </c>
      <c r="S1151" s="1">
        <v>44449</v>
      </c>
      <c r="T1151" s="1">
        <v>44449</v>
      </c>
      <c r="U1151">
        <v>37501</v>
      </c>
      <c r="V1151" t="s">
        <v>61</v>
      </c>
      <c r="W1151" t="s">
        <v>2224</v>
      </c>
      <c r="X1151" s="1">
        <v>44452</v>
      </c>
      <c r="Y1151" t="s">
        <v>63</v>
      </c>
      <c r="Z1151">
        <v>288.8</v>
      </c>
      <c r="AA1151">
        <v>16</v>
      </c>
      <c r="AB1151">
        <v>46.2</v>
      </c>
      <c r="AC1151">
        <v>33.5</v>
      </c>
      <c r="AD1151">
        <v>368.5</v>
      </c>
      <c r="AE1151">
        <v>504.5</v>
      </c>
      <c r="AF1151">
        <v>545</v>
      </c>
      <c r="AG1151" t="s">
        <v>2167</v>
      </c>
      <c r="AH1151" t="s">
        <v>65</v>
      </c>
      <c r="AI1151" t="s">
        <v>65</v>
      </c>
      <c r="AJ1151" t="s">
        <v>66</v>
      </c>
      <c r="AK1151" t="s">
        <v>66</v>
      </c>
      <c r="AL1151" t="s">
        <v>66</v>
      </c>
      <c r="AM1151" s="2" t="str">
        <f>HYPERLINK("https://transparencia.cidesi.mx/comprobantes/2021/CQ2100798 /C39E78481B-4FF1-4EC5-BCBA-1144B20EFF44.pdf")</f>
        <v>https://transparencia.cidesi.mx/comprobantes/2021/CQ2100798 /C39E78481B-4FF1-4EC5-BCBA-1144B20EFF44.pdf</v>
      </c>
      <c r="AN1151" t="str">
        <f>HYPERLINK("https://transparencia.cidesi.mx/comprobantes/2021/CQ2100798 /C39E78481B-4FF1-4EC5-BCBA-1144B20EFF44.pdf")</f>
        <v>https://transparencia.cidesi.mx/comprobantes/2021/CQ2100798 /C39E78481B-4FF1-4EC5-BCBA-1144B20EFF44.pdf</v>
      </c>
      <c r="AO1151" t="str">
        <f>HYPERLINK("https://transparencia.cidesi.mx/comprobantes/2021/CQ2100798 /C39E78481B-4FF1-4EC5-BCBA-1144B20EFF44.xml")</f>
        <v>https://transparencia.cidesi.mx/comprobantes/2021/CQ2100798 /C39E78481B-4FF1-4EC5-BCBA-1144B20EFF44.xml</v>
      </c>
      <c r="AP1151" t="s">
        <v>2225</v>
      </c>
      <c r="AQ1151" t="s">
        <v>2226</v>
      </c>
      <c r="AR1151" t="s">
        <v>2197</v>
      </c>
      <c r="AS1151" t="s">
        <v>2212</v>
      </c>
      <c r="AT1151" s="1">
        <v>44453</v>
      </c>
      <c r="AU1151" s="1">
        <v>44467</v>
      </c>
    </row>
    <row r="1152" spans="1:47" x14ac:dyDescent="0.3">
      <c r="A1152" t="s">
        <v>47</v>
      </c>
      <c r="B1152" t="s">
        <v>224</v>
      </c>
      <c r="C1152" t="s">
        <v>225</v>
      </c>
      <c r="D1152">
        <v>100148</v>
      </c>
      <c r="E1152" t="s">
        <v>2162</v>
      </c>
      <c r="F1152" t="s">
        <v>692</v>
      </c>
      <c r="G1152" t="s">
        <v>2163</v>
      </c>
      <c r="H1152" t="s">
        <v>2227</v>
      </c>
      <c r="I1152" t="s">
        <v>54</v>
      </c>
      <c r="J1152" t="s">
        <v>2228</v>
      </c>
      <c r="K1152" t="s">
        <v>56</v>
      </c>
      <c r="L1152">
        <v>0</v>
      </c>
      <c r="M1152" t="s">
        <v>73</v>
      </c>
      <c r="N1152">
        <v>0</v>
      </c>
      <c r="O1152" t="s">
        <v>58</v>
      </c>
      <c r="P1152" t="s">
        <v>59</v>
      </c>
      <c r="Q1152" t="s">
        <v>216</v>
      </c>
      <c r="R1152" t="s">
        <v>2228</v>
      </c>
      <c r="S1152" s="1">
        <v>44455</v>
      </c>
      <c r="T1152" s="1">
        <v>44455</v>
      </c>
      <c r="U1152">
        <v>37501</v>
      </c>
      <c r="V1152" t="s">
        <v>61</v>
      </c>
      <c r="W1152" t="s">
        <v>2229</v>
      </c>
      <c r="X1152" s="1">
        <v>44460</v>
      </c>
      <c r="Y1152" t="s">
        <v>63</v>
      </c>
      <c r="Z1152">
        <v>405.18</v>
      </c>
      <c r="AA1152">
        <v>16</v>
      </c>
      <c r="AB1152">
        <v>64.819999999999993</v>
      </c>
      <c r="AC1152">
        <v>47</v>
      </c>
      <c r="AD1152">
        <v>517</v>
      </c>
      <c r="AE1152">
        <v>517</v>
      </c>
      <c r="AF1152">
        <v>545</v>
      </c>
      <c r="AG1152" t="s">
        <v>2167</v>
      </c>
      <c r="AH1152" t="s">
        <v>65</v>
      </c>
      <c r="AI1152" t="s">
        <v>65</v>
      </c>
      <c r="AJ1152" t="s">
        <v>66</v>
      </c>
      <c r="AK1152" t="s">
        <v>66</v>
      </c>
      <c r="AL1152" t="s">
        <v>66</v>
      </c>
      <c r="AM1152" s="2" t="str">
        <f>HYPERLINK("https://transparencia.cidesi.mx/comprobantes/2021/CQ2100847 /C1CB8D73BB-D90D-4200-B0A4-53CA0F2DF323.pdf")</f>
        <v>https://transparencia.cidesi.mx/comprobantes/2021/CQ2100847 /C1CB8D73BB-D90D-4200-B0A4-53CA0F2DF323.pdf</v>
      </c>
      <c r="AN1152" t="str">
        <f>HYPERLINK("https://transparencia.cidesi.mx/comprobantes/2021/CQ2100847 /C1CB8D73BB-D90D-4200-B0A4-53CA0F2DF323.pdf")</f>
        <v>https://transparencia.cidesi.mx/comprobantes/2021/CQ2100847 /C1CB8D73BB-D90D-4200-B0A4-53CA0F2DF323.pdf</v>
      </c>
      <c r="AO1152" t="str">
        <f>HYPERLINK("https://transparencia.cidesi.mx/comprobantes/2021/CQ2100847 /C1CB8D73BB-D90D-4200-B0A4-53CA0F2DF323.xml")</f>
        <v>https://transparencia.cidesi.mx/comprobantes/2021/CQ2100847 /C1CB8D73BB-D90D-4200-B0A4-53CA0F2DF323.xml</v>
      </c>
      <c r="AP1152" t="s">
        <v>2230</v>
      </c>
      <c r="AQ1152" t="s">
        <v>2231</v>
      </c>
      <c r="AR1152" t="s">
        <v>2232</v>
      </c>
      <c r="AS1152" t="s">
        <v>2212</v>
      </c>
      <c r="AT1152" s="1">
        <v>44462</v>
      </c>
      <c r="AU1152" s="1">
        <v>44473</v>
      </c>
    </row>
    <row r="1153" spans="1:47" x14ac:dyDescent="0.3">
      <c r="A1153" t="s">
        <v>47</v>
      </c>
      <c r="B1153" t="s">
        <v>48</v>
      </c>
      <c r="C1153" t="s">
        <v>392</v>
      </c>
      <c r="D1153">
        <v>100155</v>
      </c>
      <c r="E1153" t="s">
        <v>2233</v>
      </c>
      <c r="F1153" t="s">
        <v>769</v>
      </c>
      <c r="G1153" t="s">
        <v>404</v>
      </c>
      <c r="H1153" t="s">
        <v>2234</v>
      </c>
      <c r="I1153" t="s">
        <v>54</v>
      </c>
      <c r="J1153" t="s">
        <v>2235</v>
      </c>
      <c r="K1153" t="s">
        <v>56</v>
      </c>
      <c r="L1153">
        <v>0</v>
      </c>
      <c r="M1153" t="s">
        <v>73</v>
      </c>
      <c r="N1153">
        <v>0</v>
      </c>
      <c r="O1153" t="s">
        <v>58</v>
      </c>
      <c r="P1153" t="s">
        <v>59</v>
      </c>
      <c r="Q1153" t="s">
        <v>60</v>
      </c>
      <c r="R1153" t="s">
        <v>2235</v>
      </c>
      <c r="S1153" s="1">
        <v>44397</v>
      </c>
      <c r="T1153" s="1">
        <v>44399</v>
      </c>
      <c r="U1153">
        <v>37501</v>
      </c>
      <c r="V1153" t="s">
        <v>61</v>
      </c>
      <c r="W1153" t="s">
        <v>2236</v>
      </c>
      <c r="X1153" s="1">
        <v>44427</v>
      </c>
      <c r="Y1153" t="s">
        <v>63</v>
      </c>
      <c r="Z1153">
        <v>401.72</v>
      </c>
      <c r="AA1153">
        <v>16</v>
      </c>
      <c r="AB1153">
        <v>64.28</v>
      </c>
      <c r="AC1153">
        <v>0</v>
      </c>
      <c r="AD1153">
        <v>466</v>
      </c>
      <c r="AE1153">
        <v>2291.84</v>
      </c>
      <c r="AF1153">
        <v>2727</v>
      </c>
      <c r="AG1153" t="s">
        <v>2237</v>
      </c>
      <c r="AH1153" t="s">
        <v>65</v>
      </c>
      <c r="AI1153" t="s">
        <v>65</v>
      </c>
      <c r="AJ1153" t="s">
        <v>66</v>
      </c>
      <c r="AK1153" t="s">
        <v>66</v>
      </c>
      <c r="AL1153" t="s">
        <v>66</v>
      </c>
      <c r="AM1153" s="2" t="str">
        <f>HYPERLINK("https://transparencia.cidesi.mx/comprobantes/2021/CQ2100666 /C269344458.pdf")</f>
        <v>https://transparencia.cidesi.mx/comprobantes/2021/CQ2100666 /C269344458.pdf</v>
      </c>
      <c r="AN1153" t="str">
        <f>HYPERLINK("https://transparencia.cidesi.mx/comprobantes/2021/CQ2100666 /C269344458.pdf")</f>
        <v>https://transparencia.cidesi.mx/comprobantes/2021/CQ2100666 /C269344458.pdf</v>
      </c>
      <c r="AO1153" t="str">
        <f>HYPERLINK("https://transparencia.cidesi.mx/comprobantes/2021/CQ2100666 /C269344458.xml")</f>
        <v>https://transparencia.cidesi.mx/comprobantes/2021/CQ2100666 /C269344458.xml</v>
      </c>
      <c r="AP1153" t="s">
        <v>2235</v>
      </c>
      <c r="AQ1153" t="s">
        <v>2235</v>
      </c>
      <c r="AR1153" t="s">
        <v>2235</v>
      </c>
      <c r="AS1153" t="s">
        <v>2235</v>
      </c>
      <c r="AT1153" s="1">
        <v>44427</v>
      </c>
      <c r="AU1153" s="1">
        <v>44427</v>
      </c>
    </row>
    <row r="1154" spans="1:47" x14ac:dyDescent="0.3">
      <c r="A1154" t="s">
        <v>47</v>
      </c>
      <c r="B1154" t="s">
        <v>48</v>
      </c>
      <c r="C1154" t="s">
        <v>392</v>
      </c>
      <c r="D1154">
        <v>100155</v>
      </c>
      <c r="E1154" t="s">
        <v>2233</v>
      </c>
      <c r="F1154" t="s">
        <v>769</v>
      </c>
      <c r="G1154" t="s">
        <v>404</v>
      </c>
      <c r="H1154" t="s">
        <v>2234</v>
      </c>
      <c r="I1154" t="s">
        <v>54</v>
      </c>
      <c r="J1154" t="s">
        <v>2235</v>
      </c>
      <c r="K1154" t="s">
        <v>56</v>
      </c>
      <c r="L1154">
        <v>0</v>
      </c>
      <c r="M1154" t="s">
        <v>73</v>
      </c>
      <c r="N1154">
        <v>0</v>
      </c>
      <c r="O1154" t="s">
        <v>58</v>
      </c>
      <c r="P1154" t="s">
        <v>59</v>
      </c>
      <c r="Q1154" t="s">
        <v>60</v>
      </c>
      <c r="R1154" t="s">
        <v>2235</v>
      </c>
      <c r="S1154" s="1">
        <v>44397</v>
      </c>
      <c r="T1154" s="1">
        <v>44399</v>
      </c>
      <c r="U1154">
        <v>37501</v>
      </c>
      <c r="V1154" t="s">
        <v>61</v>
      </c>
      <c r="W1154" t="s">
        <v>2236</v>
      </c>
      <c r="X1154" s="1">
        <v>44427</v>
      </c>
      <c r="Y1154" t="s">
        <v>63</v>
      </c>
      <c r="Z1154">
        <v>99.07</v>
      </c>
      <c r="AA1154">
        <v>16</v>
      </c>
      <c r="AB1154">
        <v>15.93</v>
      </c>
      <c r="AC1154">
        <v>0</v>
      </c>
      <c r="AD1154">
        <v>115</v>
      </c>
      <c r="AE1154">
        <v>2291.84</v>
      </c>
      <c r="AF1154">
        <v>2727</v>
      </c>
      <c r="AG1154" t="s">
        <v>2237</v>
      </c>
      <c r="AH1154" t="s">
        <v>65</v>
      </c>
      <c r="AI1154" t="s">
        <v>65</v>
      </c>
      <c r="AJ1154" t="s">
        <v>66</v>
      </c>
      <c r="AK1154" t="s">
        <v>66</v>
      </c>
      <c r="AL1154" t="s">
        <v>66</v>
      </c>
      <c r="AM1154" s="2" t="str">
        <f>HYPERLINK("https://transparencia.cidesi.mx/comprobantes/2021/CQ2100666 /C4GGG030729MR0FAA15566.pdf")</f>
        <v>https://transparencia.cidesi.mx/comprobantes/2021/CQ2100666 /C4GGG030729MR0FAA15566.pdf</v>
      </c>
      <c r="AN1154" t="str">
        <f>HYPERLINK("https://transparencia.cidesi.mx/comprobantes/2021/CQ2100666 /C4GGG030729MR0FAA15566.pdf")</f>
        <v>https://transparencia.cidesi.mx/comprobantes/2021/CQ2100666 /C4GGG030729MR0FAA15566.pdf</v>
      </c>
      <c r="AO1154" t="str">
        <f>HYPERLINK("https://transparencia.cidesi.mx/comprobantes/2021/CQ2100666 /C4GGG030729MR0FAA15566.xml")</f>
        <v>https://transparencia.cidesi.mx/comprobantes/2021/CQ2100666 /C4GGG030729MR0FAA15566.xml</v>
      </c>
      <c r="AP1154" t="s">
        <v>2235</v>
      </c>
      <c r="AQ1154" t="s">
        <v>2235</v>
      </c>
      <c r="AR1154" t="s">
        <v>2235</v>
      </c>
      <c r="AS1154" t="s">
        <v>2235</v>
      </c>
      <c r="AT1154" s="1">
        <v>44427</v>
      </c>
      <c r="AU1154" s="1">
        <v>44427</v>
      </c>
    </row>
    <row r="1155" spans="1:47" x14ac:dyDescent="0.3">
      <c r="A1155" t="s">
        <v>47</v>
      </c>
      <c r="B1155" t="s">
        <v>48</v>
      </c>
      <c r="C1155" t="s">
        <v>392</v>
      </c>
      <c r="D1155">
        <v>100155</v>
      </c>
      <c r="E1155" t="s">
        <v>2233</v>
      </c>
      <c r="F1155" t="s">
        <v>769</v>
      </c>
      <c r="G1155" t="s">
        <v>404</v>
      </c>
      <c r="H1155" t="s">
        <v>2234</v>
      </c>
      <c r="I1155" t="s">
        <v>54</v>
      </c>
      <c r="J1155" t="s">
        <v>2235</v>
      </c>
      <c r="K1155" t="s">
        <v>56</v>
      </c>
      <c r="L1155">
        <v>0</v>
      </c>
      <c r="M1155" t="s">
        <v>73</v>
      </c>
      <c r="N1155">
        <v>0</v>
      </c>
      <c r="O1155" t="s">
        <v>58</v>
      </c>
      <c r="P1155" t="s">
        <v>59</v>
      </c>
      <c r="Q1155" t="s">
        <v>60</v>
      </c>
      <c r="R1155" t="s">
        <v>2235</v>
      </c>
      <c r="S1155" s="1">
        <v>44397</v>
      </c>
      <c r="T1155" s="1">
        <v>44399</v>
      </c>
      <c r="U1155">
        <v>37501</v>
      </c>
      <c r="V1155" t="s">
        <v>61</v>
      </c>
      <c r="W1155" t="s">
        <v>2236</v>
      </c>
      <c r="X1155" s="1">
        <v>44427</v>
      </c>
      <c r="Y1155" t="s">
        <v>63</v>
      </c>
      <c r="Z1155">
        <v>103.88</v>
      </c>
      <c r="AA1155">
        <v>16</v>
      </c>
      <c r="AB1155">
        <v>16.62</v>
      </c>
      <c r="AC1155">
        <v>0</v>
      </c>
      <c r="AD1155">
        <v>120.5</v>
      </c>
      <c r="AE1155">
        <v>2291.84</v>
      </c>
      <c r="AF1155">
        <v>2727</v>
      </c>
      <c r="AG1155" t="s">
        <v>2237</v>
      </c>
      <c r="AH1155" t="s">
        <v>65</v>
      </c>
      <c r="AI1155" t="s">
        <v>65</v>
      </c>
      <c r="AJ1155" t="s">
        <v>66</v>
      </c>
      <c r="AK1155" t="s">
        <v>66</v>
      </c>
      <c r="AL1155" t="s">
        <v>66</v>
      </c>
      <c r="AM1155" s="2" t="str">
        <f>HYPERLINK("https://transparencia.cidesi.mx/comprobantes/2021/CQ2100666 /C5GGG030729MR0FAA15562.pdf")</f>
        <v>https://transparencia.cidesi.mx/comprobantes/2021/CQ2100666 /C5GGG030729MR0FAA15562.pdf</v>
      </c>
      <c r="AN1155" t="str">
        <f>HYPERLINK("https://transparencia.cidesi.mx/comprobantes/2021/CQ2100666 /C5GGG030729MR0FAA15562.pdf")</f>
        <v>https://transparencia.cidesi.mx/comprobantes/2021/CQ2100666 /C5GGG030729MR0FAA15562.pdf</v>
      </c>
      <c r="AO1155" t="str">
        <f>HYPERLINK("https://transparencia.cidesi.mx/comprobantes/2021/CQ2100666 /C5GGG030729MR0FAA15562.xml")</f>
        <v>https://transparencia.cidesi.mx/comprobantes/2021/CQ2100666 /C5GGG030729MR0FAA15562.xml</v>
      </c>
      <c r="AP1155" t="s">
        <v>2235</v>
      </c>
      <c r="AQ1155" t="s">
        <v>2235</v>
      </c>
      <c r="AR1155" t="s">
        <v>2235</v>
      </c>
      <c r="AS1155" t="s">
        <v>2235</v>
      </c>
      <c r="AT1155" s="1">
        <v>44427</v>
      </c>
      <c r="AU1155" s="1">
        <v>44427</v>
      </c>
    </row>
    <row r="1156" spans="1:47" x14ac:dyDescent="0.3">
      <c r="A1156" t="s">
        <v>47</v>
      </c>
      <c r="B1156" t="s">
        <v>48</v>
      </c>
      <c r="C1156" t="s">
        <v>392</v>
      </c>
      <c r="D1156">
        <v>100155</v>
      </c>
      <c r="E1156" t="s">
        <v>2233</v>
      </c>
      <c r="F1156" t="s">
        <v>769</v>
      </c>
      <c r="G1156" t="s">
        <v>404</v>
      </c>
      <c r="H1156" t="s">
        <v>2234</v>
      </c>
      <c r="I1156" t="s">
        <v>54</v>
      </c>
      <c r="J1156" t="s">
        <v>2235</v>
      </c>
      <c r="K1156" t="s">
        <v>56</v>
      </c>
      <c r="L1156">
        <v>0</v>
      </c>
      <c r="M1156" t="s">
        <v>73</v>
      </c>
      <c r="N1156">
        <v>0</v>
      </c>
      <c r="O1156" t="s">
        <v>58</v>
      </c>
      <c r="P1156" t="s">
        <v>59</v>
      </c>
      <c r="Q1156" t="s">
        <v>60</v>
      </c>
      <c r="R1156" t="s">
        <v>2235</v>
      </c>
      <c r="S1156" s="1">
        <v>44397</v>
      </c>
      <c r="T1156" s="1">
        <v>44399</v>
      </c>
      <c r="U1156">
        <v>37501</v>
      </c>
      <c r="V1156" t="s">
        <v>104</v>
      </c>
      <c r="W1156" t="s">
        <v>2236</v>
      </c>
      <c r="X1156" s="1">
        <v>44427</v>
      </c>
      <c r="Y1156" t="s">
        <v>63</v>
      </c>
      <c r="Z1156">
        <v>509.74</v>
      </c>
      <c r="AA1156">
        <v>16</v>
      </c>
      <c r="AB1156">
        <v>78.8</v>
      </c>
      <c r="AC1156">
        <v>0</v>
      </c>
      <c r="AD1156">
        <v>588.54</v>
      </c>
      <c r="AE1156">
        <v>2291.84</v>
      </c>
      <c r="AF1156">
        <v>2727</v>
      </c>
      <c r="AG1156" t="s">
        <v>2238</v>
      </c>
      <c r="AH1156" t="s">
        <v>65</v>
      </c>
      <c r="AI1156" t="s">
        <v>65</v>
      </c>
      <c r="AJ1156" t="s">
        <v>66</v>
      </c>
      <c r="AK1156" t="s">
        <v>66</v>
      </c>
      <c r="AL1156" t="s">
        <v>66</v>
      </c>
      <c r="AM1156" s="2" t="str">
        <f>HYPERLINK("https://transparencia.cidesi.mx/comprobantes/2021/CQ2100666 /C6FFX121005C6A-22-07-2021084334790-F1XSUR155579.pdf")</f>
        <v>https://transparencia.cidesi.mx/comprobantes/2021/CQ2100666 /C6FFX121005C6A-22-07-2021084334790-F1XSUR155579.pdf</v>
      </c>
      <c r="AN1156" t="str">
        <f>HYPERLINK("https://transparencia.cidesi.mx/comprobantes/2021/CQ2100666 /C6FFX121005C6A-22-07-2021084334790-F1XSUR155579.pdf")</f>
        <v>https://transparencia.cidesi.mx/comprobantes/2021/CQ2100666 /C6FFX121005C6A-22-07-2021084334790-F1XSUR155579.pdf</v>
      </c>
      <c r="AO1156" t="str">
        <f>HYPERLINK("https://transparencia.cidesi.mx/comprobantes/2021/CQ2100666 /C6FFX121005C6A-22-07-2021084334790-F1XSUR155579.xml")</f>
        <v>https://transparencia.cidesi.mx/comprobantes/2021/CQ2100666 /C6FFX121005C6A-22-07-2021084334790-F1XSUR155579.xml</v>
      </c>
      <c r="AP1156" t="s">
        <v>2235</v>
      </c>
      <c r="AQ1156" t="s">
        <v>2235</v>
      </c>
      <c r="AR1156" t="s">
        <v>2235</v>
      </c>
      <c r="AS1156" t="s">
        <v>2235</v>
      </c>
      <c r="AT1156" s="1">
        <v>44427</v>
      </c>
      <c r="AU1156" s="1">
        <v>44427</v>
      </c>
    </row>
    <row r="1157" spans="1:47" x14ac:dyDescent="0.3">
      <c r="A1157" t="s">
        <v>47</v>
      </c>
      <c r="B1157" t="s">
        <v>48</v>
      </c>
      <c r="C1157" t="s">
        <v>392</v>
      </c>
      <c r="D1157">
        <v>100155</v>
      </c>
      <c r="E1157" t="s">
        <v>2233</v>
      </c>
      <c r="F1157" t="s">
        <v>769</v>
      </c>
      <c r="G1157" t="s">
        <v>404</v>
      </c>
      <c r="H1157" t="s">
        <v>2234</v>
      </c>
      <c r="I1157" t="s">
        <v>54</v>
      </c>
      <c r="J1157" t="s">
        <v>2235</v>
      </c>
      <c r="K1157" t="s">
        <v>56</v>
      </c>
      <c r="L1157">
        <v>0</v>
      </c>
      <c r="M1157" t="s">
        <v>73</v>
      </c>
      <c r="N1157">
        <v>0</v>
      </c>
      <c r="O1157" t="s">
        <v>58</v>
      </c>
      <c r="P1157" t="s">
        <v>59</v>
      </c>
      <c r="Q1157" t="s">
        <v>60</v>
      </c>
      <c r="R1157" t="s">
        <v>2235</v>
      </c>
      <c r="S1157" s="1">
        <v>44397</v>
      </c>
      <c r="T1157" s="1">
        <v>44399</v>
      </c>
      <c r="U1157">
        <v>37501</v>
      </c>
      <c r="V1157" t="s">
        <v>61</v>
      </c>
      <c r="W1157" t="s">
        <v>2236</v>
      </c>
      <c r="X1157" s="1">
        <v>44427</v>
      </c>
      <c r="Y1157" t="s">
        <v>63</v>
      </c>
      <c r="Z1157">
        <v>88.79</v>
      </c>
      <c r="AA1157">
        <v>16</v>
      </c>
      <c r="AB1157">
        <v>14.21</v>
      </c>
      <c r="AC1157">
        <v>0</v>
      </c>
      <c r="AD1157">
        <v>103</v>
      </c>
      <c r="AE1157">
        <v>2291.84</v>
      </c>
      <c r="AF1157">
        <v>2727</v>
      </c>
      <c r="AG1157" t="s">
        <v>2237</v>
      </c>
      <c r="AH1157" t="s">
        <v>65</v>
      </c>
      <c r="AI1157" t="s">
        <v>65</v>
      </c>
      <c r="AJ1157" t="s">
        <v>66</v>
      </c>
      <c r="AK1157" t="s">
        <v>66</v>
      </c>
      <c r="AL1157" t="s">
        <v>66</v>
      </c>
      <c r="AM1157" s="2" t="str">
        <f>HYPERLINK("https://transparencia.cidesi.mx/comprobantes/2021/CQ2100666 /C7GGG030729MR0FAA15565.pdf")</f>
        <v>https://transparencia.cidesi.mx/comprobantes/2021/CQ2100666 /C7GGG030729MR0FAA15565.pdf</v>
      </c>
      <c r="AN1157" t="str">
        <f>HYPERLINK("https://transparencia.cidesi.mx/comprobantes/2021/CQ2100666 /C7GGG030729MR0FAA15565.pdf")</f>
        <v>https://transparencia.cidesi.mx/comprobantes/2021/CQ2100666 /C7GGG030729MR0FAA15565.pdf</v>
      </c>
      <c r="AO1157" t="str">
        <f>HYPERLINK("https://transparencia.cidesi.mx/comprobantes/2021/CQ2100666 /C7GGG030729MR0FAA15565.xml")</f>
        <v>https://transparencia.cidesi.mx/comprobantes/2021/CQ2100666 /C7GGG030729MR0FAA15565.xml</v>
      </c>
      <c r="AP1157" t="s">
        <v>2235</v>
      </c>
      <c r="AQ1157" t="s">
        <v>2235</v>
      </c>
      <c r="AR1157" t="s">
        <v>2235</v>
      </c>
      <c r="AS1157" t="s">
        <v>2235</v>
      </c>
      <c r="AT1157" s="1">
        <v>44427</v>
      </c>
      <c r="AU1157" s="1">
        <v>44427</v>
      </c>
    </row>
    <row r="1158" spans="1:47" x14ac:dyDescent="0.3">
      <c r="A1158" t="s">
        <v>47</v>
      </c>
      <c r="B1158" t="s">
        <v>48</v>
      </c>
      <c r="C1158" t="s">
        <v>392</v>
      </c>
      <c r="D1158">
        <v>100155</v>
      </c>
      <c r="E1158" t="s">
        <v>2233</v>
      </c>
      <c r="F1158" t="s">
        <v>769</v>
      </c>
      <c r="G1158" t="s">
        <v>404</v>
      </c>
      <c r="H1158" t="s">
        <v>2234</v>
      </c>
      <c r="I1158" t="s">
        <v>54</v>
      </c>
      <c r="J1158" t="s">
        <v>2235</v>
      </c>
      <c r="K1158" t="s">
        <v>56</v>
      </c>
      <c r="L1158">
        <v>0</v>
      </c>
      <c r="M1158" t="s">
        <v>73</v>
      </c>
      <c r="N1158">
        <v>0</v>
      </c>
      <c r="O1158" t="s">
        <v>58</v>
      </c>
      <c r="P1158" t="s">
        <v>59</v>
      </c>
      <c r="Q1158" t="s">
        <v>60</v>
      </c>
      <c r="R1158" t="s">
        <v>2235</v>
      </c>
      <c r="S1158" s="1">
        <v>44397</v>
      </c>
      <c r="T1158" s="1">
        <v>44399</v>
      </c>
      <c r="U1158">
        <v>37501</v>
      </c>
      <c r="V1158" t="s">
        <v>104</v>
      </c>
      <c r="W1158" t="s">
        <v>2236</v>
      </c>
      <c r="X1158" s="1">
        <v>44427</v>
      </c>
      <c r="Y1158" t="s">
        <v>63</v>
      </c>
      <c r="Z1158">
        <v>588.95000000000005</v>
      </c>
      <c r="AA1158">
        <v>16</v>
      </c>
      <c r="AB1158">
        <v>91.05</v>
      </c>
      <c r="AC1158">
        <v>0</v>
      </c>
      <c r="AD1158">
        <v>680</v>
      </c>
      <c r="AE1158">
        <v>2291.84</v>
      </c>
      <c r="AF1158">
        <v>2727</v>
      </c>
      <c r="AG1158" t="s">
        <v>2238</v>
      </c>
      <c r="AH1158" t="s">
        <v>65</v>
      </c>
      <c r="AI1158" t="s">
        <v>65</v>
      </c>
      <c r="AJ1158" t="s">
        <v>66</v>
      </c>
      <c r="AK1158" t="s">
        <v>66</v>
      </c>
      <c r="AL1158" t="s">
        <v>66</v>
      </c>
      <c r="AM1158" s="2" t="str">
        <f>HYPERLINK("https://transparencia.cidesi.mx/comprobantes/2021/CQ2100666 /C8PHT0103074L9_Factura__11495_14A094FB-DF52-4C5D-9F07-0301654A15C6.pdf")</f>
        <v>https://transparencia.cidesi.mx/comprobantes/2021/CQ2100666 /C8PHT0103074L9_Factura__11495_14A094FB-DF52-4C5D-9F07-0301654A15C6.pdf</v>
      </c>
      <c r="AN1158" t="str">
        <f>HYPERLINK("https://transparencia.cidesi.mx/comprobantes/2021/CQ2100666 /C8PHT0103074L9_Factura__11495_14A094FB-DF52-4C5D-9F07-0301654A15C6.pdf")</f>
        <v>https://transparencia.cidesi.mx/comprobantes/2021/CQ2100666 /C8PHT0103074L9_Factura__11495_14A094FB-DF52-4C5D-9F07-0301654A15C6.pdf</v>
      </c>
      <c r="AO1158" t="str">
        <f>HYPERLINK("https://transparencia.cidesi.mx/comprobantes/2021/CQ2100666 /C8PHT0103074L9_Factura__11495_14A094FB-DF52-4C5D-9F07-0301654A15C6.xml")</f>
        <v>https://transparencia.cidesi.mx/comprobantes/2021/CQ2100666 /C8PHT0103074L9_Factura__11495_14A094FB-DF52-4C5D-9F07-0301654A15C6.xml</v>
      </c>
      <c r="AP1158" t="s">
        <v>2235</v>
      </c>
      <c r="AQ1158" t="s">
        <v>2235</v>
      </c>
      <c r="AR1158" t="s">
        <v>2235</v>
      </c>
      <c r="AS1158" t="s">
        <v>2235</v>
      </c>
      <c r="AT1158" s="1">
        <v>44427</v>
      </c>
      <c r="AU1158" s="1">
        <v>44427</v>
      </c>
    </row>
    <row r="1159" spans="1:47" x14ac:dyDescent="0.3">
      <c r="A1159" t="s">
        <v>47</v>
      </c>
      <c r="B1159" t="s">
        <v>48</v>
      </c>
      <c r="C1159" t="s">
        <v>392</v>
      </c>
      <c r="D1159">
        <v>100155</v>
      </c>
      <c r="E1159" t="s">
        <v>2233</v>
      </c>
      <c r="F1159" t="s">
        <v>769</v>
      </c>
      <c r="G1159" t="s">
        <v>404</v>
      </c>
      <c r="H1159" t="s">
        <v>2234</v>
      </c>
      <c r="I1159" t="s">
        <v>54</v>
      </c>
      <c r="J1159" t="s">
        <v>2235</v>
      </c>
      <c r="K1159" t="s">
        <v>56</v>
      </c>
      <c r="L1159">
        <v>0</v>
      </c>
      <c r="M1159" t="s">
        <v>73</v>
      </c>
      <c r="N1159">
        <v>0</v>
      </c>
      <c r="O1159" t="s">
        <v>58</v>
      </c>
      <c r="P1159" t="s">
        <v>59</v>
      </c>
      <c r="Q1159" t="s">
        <v>60</v>
      </c>
      <c r="R1159" t="s">
        <v>2235</v>
      </c>
      <c r="S1159" s="1">
        <v>44397</v>
      </c>
      <c r="T1159" s="1">
        <v>44399</v>
      </c>
      <c r="U1159">
        <v>37501</v>
      </c>
      <c r="V1159" t="s">
        <v>61</v>
      </c>
      <c r="W1159" t="s">
        <v>2236</v>
      </c>
      <c r="X1159" s="1">
        <v>44427</v>
      </c>
      <c r="Y1159" t="s">
        <v>63</v>
      </c>
      <c r="Z1159">
        <v>199.97</v>
      </c>
      <c r="AA1159">
        <v>16</v>
      </c>
      <c r="AB1159">
        <v>18.829999999999998</v>
      </c>
      <c r="AC1159">
        <v>0</v>
      </c>
      <c r="AD1159">
        <v>218.8</v>
      </c>
      <c r="AE1159">
        <v>2291.84</v>
      </c>
      <c r="AF1159">
        <v>2727</v>
      </c>
      <c r="AG1159" t="s">
        <v>2237</v>
      </c>
      <c r="AH1159" t="s">
        <v>65</v>
      </c>
      <c r="AI1159" t="s">
        <v>65</v>
      </c>
      <c r="AJ1159" t="s">
        <v>66</v>
      </c>
      <c r="AK1159" t="s">
        <v>66</v>
      </c>
      <c r="AL1159" t="s">
        <v>66</v>
      </c>
      <c r="AM1159" s="2" t="str">
        <f>HYPERLINK("https://transparencia.cidesi.mx/comprobantes/2021/CQ2100666 /C9FACTURA_1629390126649_338976191.pdf")</f>
        <v>https://transparencia.cidesi.mx/comprobantes/2021/CQ2100666 /C9FACTURA_1629390126649_338976191.pdf</v>
      </c>
      <c r="AN1159" t="str">
        <f>HYPERLINK("https://transparencia.cidesi.mx/comprobantes/2021/CQ2100666 /C9FACTURA_1629390126649_338976191.pdf")</f>
        <v>https://transparencia.cidesi.mx/comprobantes/2021/CQ2100666 /C9FACTURA_1629390126649_338976191.pdf</v>
      </c>
      <c r="AO1159" t="str">
        <f>HYPERLINK("https://transparencia.cidesi.mx/comprobantes/2021/CQ2100666 /C9FACTURA_1629390126649_338976191.xml")</f>
        <v>https://transparencia.cidesi.mx/comprobantes/2021/CQ2100666 /C9FACTURA_1629390126649_338976191.xml</v>
      </c>
      <c r="AP1159" t="s">
        <v>2235</v>
      </c>
      <c r="AQ1159" t="s">
        <v>2235</v>
      </c>
      <c r="AR1159" t="s">
        <v>2235</v>
      </c>
      <c r="AS1159" t="s">
        <v>2235</v>
      </c>
      <c r="AT1159" s="1">
        <v>44427</v>
      </c>
      <c r="AU1159" s="1">
        <v>44427</v>
      </c>
    </row>
    <row r="1160" spans="1:47" x14ac:dyDescent="0.3">
      <c r="A1160" t="s">
        <v>47</v>
      </c>
      <c r="B1160" t="s">
        <v>48</v>
      </c>
      <c r="C1160" t="s">
        <v>392</v>
      </c>
      <c r="D1160">
        <v>100155</v>
      </c>
      <c r="E1160" t="s">
        <v>2233</v>
      </c>
      <c r="F1160" t="s">
        <v>769</v>
      </c>
      <c r="G1160" t="s">
        <v>404</v>
      </c>
      <c r="H1160" t="s">
        <v>2239</v>
      </c>
      <c r="I1160" t="s">
        <v>54</v>
      </c>
      <c r="J1160" t="s">
        <v>1607</v>
      </c>
      <c r="K1160" t="s">
        <v>56</v>
      </c>
      <c r="L1160">
        <v>0</v>
      </c>
      <c r="M1160" t="s">
        <v>73</v>
      </c>
      <c r="N1160">
        <v>0</v>
      </c>
      <c r="O1160" t="s">
        <v>58</v>
      </c>
      <c r="P1160" t="s">
        <v>59</v>
      </c>
      <c r="Q1160" t="s">
        <v>60</v>
      </c>
      <c r="R1160" t="s">
        <v>1607</v>
      </c>
      <c r="S1160" s="1">
        <v>44399</v>
      </c>
      <c r="T1160" s="1">
        <v>44400</v>
      </c>
      <c r="U1160">
        <v>37501</v>
      </c>
      <c r="V1160" t="s">
        <v>104</v>
      </c>
      <c r="W1160" t="s">
        <v>2240</v>
      </c>
      <c r="X1160" s="1">
        <v>44406</v>
      </c>
      <c r="Y1160" t="s">
        <v>63</v>
      </c>
      <c r="Z1160">
        <v>459.04</v>
      </c>
      <c r="AA1160">
        <v>16</v>
      </c>
      <c r="AB1160">
        <v>70.959999999999994</v>
      </c>
      <c r="AC1160">
        <v>0</v>
      </c>
      <c r="AD1160">
        <v>530</v>
      </c>
      <c r="AE1160">
        <v>1477</v>
      </c>
      <c r="AF1160">
        <v>1636</v>
      </c>
      <c r="AG1160" t="s">
        <v>2238</v>
      </c>
      <c r="AH1160" t="s">
        <v>65</v>
      </c>
      <c r="AI1160" t="s">
        <v>65</v>
      </c>
      <c r="AJ1160" t="s">
        <v>66</v>
      </c>
      <c r="AK1160" t="s">
        <v>66</v>
      </c>
      <c r="AL1160" t="s">
        <v>66</v>
      </c>
      <c r="AM1160" s="2" t="str">
        <f>HYPERLINK("https://transparencia.cidesi.mx/comprobantes/2021/CQ2100568 /C1FFX121005C6A-23-07-2021034441750-F1XSUR155612.pdf")</f>
        <v>https://transparencia.cidesi.mx/comprobantes/2021/CQ2100568 /C1FFX121005C6A-23-07-2021034441750-F1XSUR155612.pdf</v>
      </c>
      <c r="AN1160" t="str">
        <f>HYPERLINK("https://transparencia.cidesi.mx/comprobantes/2021/CQ2100568 /C1FFX121005C6A-23-07-2021034441750-F1XSUR155612.pdf")</f>
        <v>https://transparencia.cidesi.mx/comprobantes/2021/CQ2100568 /C1FFX121005C6A-23-07-2021034441750-F1XSUR155612.pdf</v>
      </c>
      <c r="AO1160" t="str">
        <f>HYPERLINK("https://transparencia.cidesi.mx/comprobantes/2021/CQ2100568 /C1FFX121005C6A-23-07-2021034441750-F1XSUR155612.xml")</f>
        <v>https://transparencia.cidesi.mx/comprobantes/2021/CQ2100568 /C1FFX121005C6A-23-07-2021034441750-F1XSUR155612.xml</v>
      </c>
      <c r="AP1160" t="s">
        <v>1607</v>
      </c>
      <c r="AQ1160" t="s">
        <v>1607</v>
      </c>
      <c r="AR1160" t="s">
        <v>1607</v>
      </c>
      <c r="AS1160" t="s">
        <v>1607</v>
      </c>
      <c r="AT1160" s="1">
        <v>44407</v>
      </c>
      <c r="AU1160" s="1">
        <v>44424</v>
      </c>
    </row>
    <row r="1161" spans="1:47" x14ac:dyDescent="0.3">
      <c r="A1161" t="s">
        <v>47</v>
      </c>
      <c r="B1161" t="s">
        <v>48</v>
      </c>
      <c r="C1161" t="s">
        <v>392</v>
      </c>
      <c r="D1161">
        <v>100155</v>
      </c>
      <c r="E1161" t="s">
        <v>2233</v>
      </c>
      <c r="F1161" t="s">
        <v>769</v>
      </c>
      <c r="G1161" t="s">
        <v>404</v>
      </c>
      <c r="H1161" t="s">
        <v>2239</v>
      </c>
      <c r="I1161" t="s">
        <v>54</v>
      </c>
      <c r="J1161" t="s">
        <v>1607</v>
      </c>
      <c r="K1161" t="s">
        <v>56</v>
      </c>
      <c r="L1161">
        <v>0</v>
      </c>
      <c r="M1161" t="s">
        <v>73</v>
      </c>
      <c r="N1161">
        <v>0</v>
      </c>
      <c r="O1161" t="s">
        <v>58</v>
      </c>
      <c r="P1161" t="s">
        <v>59</v>
      </c>
      <c r="Q1161" t="s">
        <v>60</v>
      </c>
      <c r="R1161" t="s">
        <v>1607</v>
      </c>
      <c r="S1161" s="1">
        <v>44399</v>
      </c>
      <c r="T1161" s="1">
        <v>44400</v>
      </c>
      <c r="U1161">
        <v>37501</v>
      </c>
      <c r="V1161" t="s">
        <v>1009</v>
      </c>
      <c r="W1161" t="s">
        <v>2240</v>
      </c>
      <c r="X1161" s="1">
        <v>44406</v>
      </c>
      <c r="Y1161" t="s">
        <v>63</v>
      </c>
      <c r="Z1161">
        <v>72.17</v>
      </c>
      <c r="AA1161">
        <v>16</v>
      </c>
      <c r="AB1161">
        <v>10.83</v>
      </c>
      <c r="AC1161">
        <v>0</v>
      </c>
      <c r="AD1161">
        <v>83</v>
      </c>
      <c r="AE1161">
        <v>1477</v>
      </c>
      <c r="AF1161">
        <v>1636</v>
      </c>
      <c r="AG1161" t="s">
        <v>2241</v>
      </c>
      <c r="AH1161" t="s">
        <v>66</v>
      </c>
      <c r="AI1161" t="s">
        <v>65</v>
      </c>
      <c r="AJ1161" t="s">
        <v>66</v>
      </c>
      <c r="AK1161" t="s">
        <v>66</v>
      </c>
      <c r="AL1161" t="s">
        <v>66</v>
      </c>
      <c r="AM1161" s="2" t="str">
        <f>HYPERLINK("https://transparencia.cidesi.mx/comprobantes/2021/CQ2100568 /C2FHO121005EFA-23-07-2021000646269-S1XSUR155602.pdf")</f>
        <v>https://transparencia.cidesi.mx/comprobantes/2021/CQ2100568 /C2FHO121005EFA-23-07-2021000646269-S1XSUR155602.pdf</v>
      </c>
      <c r="AN1161" t="str">
        <f>HYPERLINK("https://transparencia.cidesi.mx/comprobantes/2021/CQ2100568 /C2FHO121005EFA-23-07-2021000646269-S1XSUR155602.pdf")</f>
        <v>https://transparencia.cidesi.mx/comprobantes/2021/CQ2100568 /C2FHO121005EFA-23-07-2021000646269-S1XSUR155602.pdf</v>
      </c>
      <c r="AO1161" t="str">
        <f>HYPERLINK("https://transparencia.cidesi.mx/comprobantes/2021/CQ2100568 /C2FHO121005EFA-23-07-2021000646269-S1XSUR155602.xml")</f>
        <v>https://transparencia.cidesi.mx/comprobantes/2021/CQ2100568 /C2FHO121005EFA-23-07-2021000646269-S1XSUR155602.xml</v>
      </c>
      <c r="AP1161" t="s">
        <v>1607</v>
      </c>
      <c r="AQ1161" t="s">
        <v>1607</v>
      </c>
      <c r="AR1161" t="s">
        <v>1607</v>
      </c>
      <c r="AS1161" t="s">
        <v>1607</v>
      </c>
      <c r="AT1161" s="1">
        <v>44407</v>
      </c>
      <c r="AU1161" s="1">
        <v>44424</v>
      </c>
    </row>
    <row r="1162" spans="1:47" x14ac:dyDescent="0.3">
      <c r="A1162" t="s">
        <v>47</v>
      </c>
      <c r="B1162" t="s">
        <v>48</v>
      </c>
      <c r="C1162" t="s">
        <v>392</v>
      </c>
      <c r="D1162">
        <v>100155</v>
      </c>
      <c r="E1162" t="s">
        <v>2233</v>
      </c>
      <c r="F1162" t="s">
        <v>769</v>
      </c>
      <c r="G1162" t="s">
        <v>404</v>
      </c>
      <c r="H1162" t="s">
        <v>2239</v>
      </c>
      <c r="I1162" t="s">
        <v>54</v>
      </c>
      <c r="J1162" t="s">
        <v>1607</v>
      </c>
      <c r="K1162" t="s">
        <v>56</v>
      </c>
      <c r="L1162">
        <v>0</v>
      </c>
      <c r="M1162" t="s">
        <v>73</v>
      </c>
      <c r="N1162">
        <v>0</v>
      </c>
      <c r="O1162" t="s">
        <v>58</v>
      </c>
      <c r="P1162" t="s">
        <v>59</v>
      </c>
      <c r="Q1162" t="s">
        <v>60</v>
      </c>
      <c r="R1162" t="s">
        <v>1607</v>
      </c>
      <c r="S1162" s="1">
        <v>44399</v>
      </c>
      <c r="T1162" s="1">
        <v>44400</v>
      </c>
      <c r="U1162">
        <v>37501</v>
      </c>
      <c r="V1162" t="s">
        <v>61</v>
      </c>
      <c r="W1162" t="s">
        <v>2240</v>
      </c>
      <c r="X1162" s="1">
        <v>44406</v>
      </c>
      <c r="Y1162" t="s">
        <v>63</v>
      </c>
      <c r="Z1162">
        <v>156.56</v>
      </c>
      <c r="AA1162">
        <v>16</v>
      </c>
      <c r="AB1162">
        <v>13.44</v>
      </c>
      <c r="AC1162">
        <v>0</v>
      </c>
      <c r="AD1162">
        <v>170</v>
      </c>
      <c r="AE1162">
        <v>1477</v>
      </c>
      <c r="AF1162">
        <v>1636</v>
      </c>
      <c r="AG1162" t="s">
        <v>2237</v>
      </c>
      <c r="AH1162" t="s">
        <v>65</v>
      </c>
      <c r="AI1162" t="s">
        <v>65</v>
      </c>
      <c r="AJ1162" t="s">
        <v>66</v>
      </c>
      <c r="AK1162" t="s">
        <v>66</v>
      </c>
      <c r="AL1162" t="s">
        <v>66</v>
      </c>
      <c r="AM1162" s="2" t="str">
        <f>HYPERLINK("https://transparencia.cidesi.mx/comprobantes/2021/CQ2100568 /C3FACTURA_1627580460034_338976735.pdf")</f>
        <v>https://transparencia.cidesi.mx/comprobantes/2021/CQ2100568 /C3FACTURA_1627580460034_338976735.pdf</v>
      </c>
      <c r="AN1162" t="str">
        <f>HYPERLINK("https://transparencia.cidesi.mx/comprobantes/2021/CQ2100568 /C3FACTURA_1627580460034_338976735.pdf")</f>
        <v>https://transparencia.cidesi.mx/comprobantes/2021/CQ2100568 /C3FACTURA_1627580460034_338976735.pdf</v>
      </c>
      <c r="AO1162" t="str">
        <f>HYPERLINK("https://transparencia.cidesi.mx/comprobantes/2021/CQ2100568 /C3FACTURA_1627580460584_338976735.xml")</f>
        <v>https://transparencia.cidesi.mx/comprobantes/2021/CQ2100568 /C3FACTURA_1627580460584_338976735.xml</v>
      </c>
      <c r="AP1162" t="s">
        <v>1607</v>
      </c>
      <c r="AQ1162" t="s">
        <v>1607</v>
      </c>
      <c r="AR1162" t="s">
        <v>1607</v>
      </c>
      <c r="AS1162" t="s">
        <v>1607</v>
      </c>
      <c r="AT1162" s="1">
        <v>44407</v>
      </c>
      <c r="AU1162" s="1">
        <v>44424</v>
      </c>
    </row>
    <row r="1163" spans="1:47" x14ac:dyDescent="0.3">
      <c r="A1163" t="s">
        <v>47</v>
      </c>
      <c r="B1163" t="s">
        <v>48</v>
      </c>
      <c r="C1163" t="s">
        <v>392</v>
      </c>
      <c r="D1163">
        <v>100155</v>
      </c>
      <c r="E1163" t="s">
        <v>2233</v>
      </c>
      <c r="F1163" t="s">
        <v>769</v>
      </c>
      <c r="G1163" t="s">
        <v>404</v>
      </c>
      <c r="H1163" t="s">
        <v>2239</v>
      </c>
      <c r="I1163" t="s">
        <v>54</v>
      </c>
      <c r="J1163" t="s">
        <v>1607</v>
      </c>
      <c r="K1163" t="s">
        <v>56</v>
      </c>
      <c r="L1163">
        <v>0</v>
      </c>
      <c r="M1163" t="s">
        <v>73</v>
      </c>
      <c r="N1163">
        <v>0</v>
      </c>
      <c r="O1163" t="s">
        <v>58</v>
      </c>
      <c r="P1163" t="s">
        <v>59</v>
      </c>
      <c r="Q1163" t="s">
        <v>60</v>
      </c>
      <c r="R1163" t="s">
        <v>1607</v>
      </c>
      <c r="S1163" s="1">
        <v>44399</v>
      </c>
      <c r="T1163" s="1">
        <v>44400</v>
      </c>
      <c r="U1163">
        <v>37501</v>
      </c>
      <c r="V1163" t="s">
        <v>61</v>
      </c>
      <c r="W1163" t="s">
        <v>2240</v>
      </c>
      <c r="X1163" s="1">
        <v>44406</v>
      </c>
      <c r="Y1163" t="s">
        <v>63</v>
      </c>
      <c r="Z1163">
        <v>396.55</v>
      </c>
      <c r="AA1163">
        <v>16</v>
      </c>
      <c r="AB1163">
        <v>63.45</v>
      </c>
      <c r="AC1163">
        <v>0</v>
      </c>
      <c r="AD1163">
        <v>460</v>
      </c>
      <c r="AE1163">
        <v>1477</v>
      </c>
      <c r="AF1163">
        <v>1636</v>
      </c>
      <c r="AG1163" t="s">
        <v>2237</v>
      </c>
      <c r="AH1163" t="s">
        <v>65</v>
      </c>
      <c r="AI1163" t="s">
        <v>65</v>
      </c>
      <c r="AJ1163" t="s">
        <v>66</v>
      </c>
      <c r="AK1163" t="s">
        <v>66</v>
      </c>
      <c r="AL1163" t="s">
        <v>66</v>
      </c>
      <c r="AM1163" s="2" t="str">
        <f>HYPERLINK("https://transparencia.cidesi.mx/comprobantes/2021/CQ2100568 /C4SRO960830D42_PER1372.pdf")</f>
        <v>https://transparencia.cidesi.mx/comprobantes/2021/CQ2100568 /C4SRO960830D42_PER1372.pdf</v>
      </c>
      <c r="AN1163" t="str">
        <f>HYPERLINK("https://transparencia.cidesi.mx/comprobantes/2021/CQ2100568 /C4SRO960830D42_PER1372.pdf")</f>
        <v>https://transparencia.cidesi.mx/comprobantes/2021/CQ2100568 /C4SRO960830D42_PER1372.pdf</v>
      </c>
      <c r="AO1163" t="str">
        <f>HYPERLINK("https://transparencia.cidesi.mx/comprobantes/2021/CQ2100568 /C4SRO960830D42_PER1372.xml")</f>
        <v>https://transparencia.cidesi.mx/comprobantes/2021/CQ2100568 /C4SRO960830D42_PER1372.xml</v>
      </c>
      <c r="AP1163" t="s">
        <v>1607</v>
      </c>
      <c r="AQ1163" t="s">
        <v>1607</v>
      </c>
      <c r="AR1163" t="s">
        <v>1607</v>
      </c>
      <c r="AS1163" t="s">
        <v>1607</v>
      </c>
      <c r="AT1163" s="1">
        <v>44407</v>
      </c>
      <c r="AU1163" s="1">
        <v>44424</v>
      </c>
    </row>
    <row r="1164" spans="1:47" x14ac:dyDescent="0.3">
      <c r="A1164" t="s">
        <v>47</v>
      </c>
      <c r="B1164" t="s">
        <v>48</v>
      </c>
      <c r="C1164" t="s">
        <v>392</v>
      </c>
      <c r="D1164">
        <v>100155</v>
      </c>
      <c r="E1164" t="s">
        <v>2233</v>
      </c>
      <c r="F1164" t="s">
        <v>769</v>
      </c>
      <c r="G1164" t="s">
        <v>404</v>
      </c>
      <c r="H1164" t="s">
        <v>2239</v>
      </c>
      <c r="I1164" t="s">
        <v>54</v>
      </c>
      <c r="J1164" t="s">
        <v>1607</v>
      </c>
      <c r="K1164" t="s">
        <v>56</v>
      </c>
      <c r="L1164">
        <v>0</v>
      </c>
      <c r="M1164" t="s">
        <v>73</v>
      </c>
      <c r="N1164">
        <v>0</v>
      </c>
      <c r="O1164" t="s">
        <v>58</v>
      </c>
      <c r="P1164" t="s">
        <v>59</v>
      </c>
      <c r="Q1164" t="s">
        <v>60</v>
      </c>
      <c r="R1164" t="s">
        <v>1607</v>
      </c>
      <c r="S1164" s="1">
        <v>44399</v>
      </c>
      <c r="T1164" s="1">
        <v>44400</v>
      </c>
      <c r="U1164">
        <v>37501</v>
      </c>
      <c r="V1164" t="s">
        <v>61</v>
      </c>
      <c r="W1164" t="s">
        <v>2240</v>
      </c>
      <c r="X1164" s="1">
        <v>44406</v>
      </c>
      <c r="Y1164" t="s">
        <v>63</v>
      </c>
      <c r="Z1164">
        <v>232.41</v>
      </c>
      <c r="AA1164">
        <v>16</v>
      </c>
      <c r="AB1164">
        <v>1.59</v>
      </c>
      <c r="AC1164">
        <v>0</v>
      </c>
      <c r="AD1164">
        <v>234</v>
      </c>
      <c r="AE1164">
        <v>1477</v>
      </c>
      <c r="AF1164">
        <v>1636</v>
      </c>
      <c r="AG1164" t="s">
        <v>2237</v>
      </c>
      <c r="AH1164" t="s">
        <v>65</v>
      </c>
      <c r="AI1164" t="s">
        <v>65</v>
      </c>
      <c r="AJ1164" t="s">
        <v>66</v>
      </c>
      <c r="AK1164" t="s">
        <v>66</v>
      </c>
      <c r="AL1164" t="s">
        <v>66</v>
      </c>
      <c r="AM1164" s="2" t="str">
        <f>HYPERLINK("https://transparencia.cidesi.mx/comprobantes/2021/CQ2100568 /C5FACTURA_1627579115603_338970181.pdf")</f>
        <v>https://transparencia.cidesi.mx/comprobantes/2021/CQ2100568 /C5FACTURA_1627579115603_338970181.pdf</v>
      </c>
      <c r="AN1164" t="str">
        <f>HYPERLINK("https://transparencia.cidesi.mx/comprobantes/2021/CQ2100568 /C5FACTURA_1627579115603_338970181.pdf")</f>
        <v>https://transparencia.cidesi.mx/comprobantes/2021/CQ2100568 /C5FACTURA_1627579115603_338970181.pdf</v>
      </c>
      <c r="AO1164" t="str">
        <f>HYPERLINK("https://transparencia.cidesi.mx/comprobantes/2021/CQ2100568 /C5FACTURA_1627579116643_338970181.xml")</f>
        <v>https://transparencia.cidesi.mx/comprobantes/2021/CQ2100568 /C5FACTURA_1627579116643_338970181.xml</v>
      </c>
      <c r="AP1164" t="s">
        <v>1607</v>
      </c>
      <c r="AQ1164" t="s">
        <v>1607</v>
      </c>
      <c r="AR1164" t="s">
        <v>1607</v>
      </c>
      <c r="AS1164" t="s">
        <v>1607</v>
      </c>
      <c r="AT1164" s="1">
        <v>44407</v>
      </c>
      <c r="AU1164" s="1">
        <v>44424</v>
      </c>
    </row>
    <row r="1165" spans="1:47" x14ac:dyDescent="0.3">
      <c r="A1165" t="s">
        <v>47</v>
      </c>
      <c r="B1165" t="s">
        <v>48</v>
      </c>
      <c r="C1165" t="s">
        <v>392</v>
      </c>
      <c r="D1165">
        <v>100155</v>
      </c>
      <c r="E1165" t="s">
        <v>2233</v>
      </c>
      <c r="F1165" t="s">
        <v>769</v>
      </c>
      <c r="G1165" t="s">
        <v>404</v>
      </c>
      <c r="H1165" t="s">
        <v>2242</v>
      </c>
      <c r="I1165" t="s">
        <v>54</v>
      </c>
      <c r="J1165" t="s">
        <v>2243</v>
      </c>
      <c r="K1165" t="s">
        <v>56</v>
      </c>
      <c r="L1165">
        <v>0</v>
      </c>
      <c r="M1165" t="s">
        <v>73</v>
      </c>
      <c r="N1165">
        <v>0</v>
      </c>
      <c r="O1165" t="s">
        <v>58</v>
      </c>
      <c r="P1165" t="s">
        <v>59</v>
      </c>
      <c r="Q1165" t="s">
        <v>60</v>
      </c>
      <c r="R1165" t="s">
        <v>2243</v>
      </c>
      <c r="S1165" s="1">
        <v>44403</v>
      </c>
      <c r="T1165" s="1">
        <v>44406</v>
      </c>
      <c r="U1165">
        <v>37501</v>
      </c>
      <c r="V1165" t="s">
        <v>104</v>
      </c>
      <c r="W1165" t="s">
        <v>2244</v>
      </c>
      <c r="X1165" s="1">
        <v>44407</v>
      </c>
      <c r="Y1165" t="s">
        <v>100</v>
      </c>
      <c r="Z1165">
        <v>1424.01</v>
      </c>
      <c r="AA1165">
        <v>16</v>
      </c>
      <c r="AB1165">
        <v>220.14</v>
      </c>
      <c r="AC1165">
        <v>0</v>
      </c>
      <c r="AD1165">
        <v>1644.15</v>
      </c>
      <c r="AE1165">
        <v>3729.75</v>
      </c>
      <c r="AF1165">
        <v>3818</v>
      </c>
      <c r="AG1165" t="s">
        <v>2238</v>
      </c>
      <c r="AH1165" t="s">
        <v>65</v>
      </c>
      <c r="AI1165" t="s">
        <v>65</v>
      </c>
      <c r="AJ1165" t="s">
        <v>66</v>
      </c>
      <c r="AK1165" t="s">
        <v>66</v>
      </c>
      <c r="AL1165" t="s">
        <v>66</v>
      </c>
      <c r="AM1165" s="2" t="str">
        <f>HYPERLINK("https://transparencia.cidesi.mx/comprobantes/2021/CQ2100573 /C1FFX121005C6A-29-07-2021080723207-F1XSUR155845.pdf")</f>
        <v>https://transparencia.cidesi.mx/comprobantes/2021/CQ2100573 /C1FFX121005C6A-29-07-2021080723207-F1XSUR155845.pdf</v>
      </c>
      <c r="AN1165" t="str">
        <f>HYPERLINK("https://transparencia.cidesi.mx/comprobantes/2021/CQ2100573 /C1FFX121005C6A-29-07-2021080723207-F1XSUR155845.pdf")</f>
        <v>https://transparencia.cidesi.mx/comprobantes/2021/CQ2100573 /C1FFX121005C6A-29-07-2021080723207-F1XSUR155845.pdf</v>
      </c>
      <c r="AO1165" t="str">
        <f>HYPERLINK("https://transparencia.cidesi.mx/comprobantes/2021/CQ2100573 /C1FFX121005C6A-29-07-2021080723207-F1XSUR155845.xml")</f>
        <v>https://transparencia.cidesi.mx/comprobantes/2021/CQ2100573 /C1FFX121005C6A-29-07-2021080723207-F1XSUR155845.xml</v>
      </c>
      <c r="AP1165" t="s">
        <v>2243</v>
      </c>
      <c r="AQ1165" t="s">
        <v>2243</v>
      </c>
      <c r="AR1165" t="s">
        <v>2243</v>
      </c>
      <c r="AS1165" t="s">
        <v>2243</v>
      </c>
      <c r="AT1165" s="1">
        <v>44412</v>
      </c>
      <c r="AU1165" t="s">
        <v>73</v>
      </c>
    </row>
    <row r="1166" spans="1:47" x14ac:dyDescent="0.3">
      <c r="A1166" t="s">
        <v>47</v>
      </c>
      <c r="B1166" t="s">
        <v>48</v>
      </c>
      <c r="C1166" t="s">
        <v>392</v>
      </c>
      <c r="D1166">
        <v>100155</v>
      </c>
      <c r="E1166" t="s">
        <v>2233</v>
      </c>
      <c r="F1166" t="s">
        <v>769</v>
      </c>
      <c r="G1166" t="s">
        <v>404</v>
      </c>
      <c r="H1166" t="s">
        <v>2242</v>
      </c>
      <c r="I1166" t="s">
        <v>54</v>
      </c>
      <c r="J1166" t="s">
        <v>2243</v>
      </c>
      <c r="K1166" t="s">
        <v>56</v>
      </c>
      <c r="L1166">
        <v>0</v>
      </c>
      <c r="M1166" t="s">
        <v>73</v>
      </c>
      <c r="N1166">
        <v>0</v>
      </c>
      <c r="O1166" t="s">
        <v>58</v>
      </c>
      <c r="P1166" t="s">
        <v>59</v>
      </c>
      <c r="Q1166" t="s">
        <v>60</v>
      </c>
      <c r="R1166" t="s">
        <v>2243</v>
      </c>
      <c r="S1166" s="1">
        <v>44403</v>
      </c>
      <c r="T1166" s="1">
        <v>44406</v>
      </c>
      <c r="U1166">
        <v>37501</v>
      </c>
      <c r="V1166" t="s">
        <v>61</v>
      </c>
      <c r="W1166" t="s">
        <v>2244</v>
      </c>
      <c r="X1166" s="1">
        <v>44407</v>
      </c>
      <c r="Y1166" t="s">
        <v>100</v>
      </c>
      <c r="Z1166">
        <v>226.29</v>
      </c>
      <c r="AA1166">
        <v>16</v>
      </c>
      <c r="AB1166">
        <v>36.21</v>
      </c>
      <c r="AC1166">
        <v>0</v>
      </c>
      <c r="AD1166">
        <v>262.5</v>
      </c>
      <c r="AE1166">
        <v>3729.75</v>
      </c>
      <c r="AF1166">
        <v>3818</v>
      </c>
      <c r="AG1166" t="s">
        <v>2237</v>
      </c>
      <c r="AH1166" t="s">
        <v>65</v>
      </c>
      <c r="AI1166" t="s">
        <v>65</v>
      </c>
      <c r="AJ1166" t="s">
        <v>66</v>
      </c>
      <c r="AK1166" t="s">
        <v>66</v>
      </c>
      <c r="AL1166" t="s">
        <v>66</v>
      </c>
      <c r="AM1166" s="2" t="str">
        <f>HYPERLINK("https://transparencia.cidesi.mx/comprobantes/2021/CQ2100573 /C2A1768.pdf")</f>
        <v>https://transparencia.cidesi.mx/comprobantes/2021/CQ2100573 /C2A1768.pdf</v>
      </c>
      <c r="AN1166" t="str">
        <f>HYPERLINK("https://transparencia.cidesi.mx/comprobantes/2021/CQ2100573 /C2A1768.pdf")</f>
        <v>https://transparencia.cidesi.mx/comprobantes/2021/CQ2100573 /C2A1768.pdf</v>
      </c>
      <c r="AO1166" t="str">
        <f>HYPERLINK("https://transparencia.cidesi.mx/comprobantes/2021/CQ2100573 /C2A1768.xml")</f>
        <v>https://transparencia.cidesi.mx/comprobantes/2021/CQ2100573 /C2A1768.xml</v>
      </c>
      <c r="AP1166" t="s">
        <v>2243</v>
      </c>
      <c r="AQ1166" t="s">
        <v>2243</v>
      </c>
      <c r="AR1166" t="s">
        <v>2243</v>
      </c>
      <c r="AS1166" t="s">
        <v>2243</v>
      </c>
      <c r="AT1166" s="1">
        <v>44412</v>
      </c>
      <c r="AU1166" t="s">
        <v>73</v>
      </c>
    </row>
    <row r="1167" spans="1:47" x14ac:dyDescent="0.3">
      <c r="A1167" t="s">
        <v>47</v>
      </c>
      <c r="B1167" t="s">
        <v>48</v>
      </c>
      <c r="C1167" t="s">
        <v>392</v>
      </c>
      <c r="D1167">
        <v>100155</v>
      </c>
      <c r="E1167" t="s">
        <v>2233</v>
      </c>
      <c r="F1167" t="s">
        <v>769</v>
      </c>
      <c r="G1167" t="s">
        <v>404</v>
      </c>
      <c r="H1167" t="s">
        <v>2242</v>
      </c>
      <c r="I1167" t="s">
        <v>54</v>
      </c>
      <c r="J1167" t="s">
        <v>2243</v>
      </c>
      <c r="K1167" t="s">
        <v>56</v>
      </c>
      <c r="L1167">
        <v>0</v>
      </c>
      <c r="M1167" t="s">
        <v>73</v>
      </c>
      <c r="N1167">
        <v>0</v>
      </c>
      <c r="O1167" t="s">
        <v>58</v>
      </c>
      <c r="P1167" t="s">
        <v>59</v>
      </c>
      <c r="Q1167" t="s">
        <v>60</v>
      </c>
      <c r="R1167" t="s">
        <v>2243</v>
      </c>
      <c r="S1167" s="1">
        <v>44403</v>
      </c>
      <c r="T1167" s="1">
        <v>44406</v>
      </c>
      <c r="U1167">
        <v>37501</v>
      </c>
      <c r="V1167" t="s">
        <v>61</v>
      </c>
      <c r="W1167" t="s">
        <v>2244</v>
      </c>
      <c r="X1167" s="1">
        <v>44407</v>
      </c>
      <c r="Y1167" t="s">
        <v>100</v>
      </c>
      <c r="Z1167">
        <v>561.21</v>
      </c>
      <c r="AA1167">
        <v>16</v>
      </c>
      <c r="AB1167">
        <v>89.79</v>
      </c>
      <c r="AC1167">
        <v>0</v>
      </c>
      <c r="AD1167">
        <v>651</v>
      </c>
      <c r="AE1167">
        <v>3729.75</v>
      </c>
      <c r="AF1167">
        <v>3818</v>
      </c>
      <c r="AG1167" t="s">
        <v>2237</v>
      </c>
      <c r="AH1167" t="s">
        <v>65</v>
      </c>
      <c r="AI1167" t="s">
        <v>65</v>
      </c>
      <c r="AJ1167" t="s">
        <v>66</v>
      </c>
      <c r="AK1167" t="s">
        <v>66</v>
      </c>
      <c r="AL1167" t="s">
        <v>66</v>
      </c>
      <c r="AM1167" s="2" t="str">
        <f>HYPERLINK("https://transparencia.cidesi.mx/comprobantes/2021/CQ2100573 /C3A1761.pdf")</f>
        <v>https://transparencia.cidesi.mx/comprobantes/2021/CQ2100573 /C3A1761.pdf</v>
      </c>
      <c r="AN1167" t="str">
        <f>HYPERLINK("https://transparencia.cidesi.mx/comprobantes/2021/CQ2100573 /C3A1761.pdf")</f>
        <v>https://transparencia.cidesi.mx/comprobantes/2021/CQ2100573 /C3A1761.pdf</v>
      </c>
      <c r="AO1167" t="str">
        <f>HYPERLINK("https://transparencia.cidesi.mx/comprobantes/2021/CQ2100573 /C3A1761.xml")</f>
        <v>https://transparencia.cidesi.mx/comprobantes/2021/CQ2100573 /C3A1761.xml</v>
      </c>
      <c r="AP1167" t="s">
        <v>2243</v>
      </c>
      <c r="AQ1167" t="s">
        <v>2243</v>
      </c>
      <c r="AR1167" t="s">
        <v>2243</v>
      </c>
      <c r="AS1167" t="s">
        <v>2243</v>
      </c>
      <c r="AT1167" s="1">
        <v>44412</v>
      </c>
      <c r="AU1167" t="s">
        <v>73</v>
      </c>
    </row>
    <row r="1168" spans="1:47" x14ac:dyDescent="0.3">
      <c r="A1168" t="s">
        <v>47</v>
      </c>
      <c r="B1168" t="s">
        <v>48</v>
      </c>
      <c r="C1168" t="s">
        <v>392</v>
      </c>
      <c r="D1168">
        <v>100155</v>
      </c>
      <c r="E1168" t="s">
        <v>2233</v>
      </c>
      <c r="F1168" t="s">
        <v>769</v>
      </c>
      <c r="G1168" t="s">
        <v>404</v>
      </c>
      <c r="H1168" t="s">
        <v>2242</v>
      </c>
      <c r="I1168" t="s">
        <v>54</v>
      </c>
      <c r="J1168" t="s">
        <v>2243</v>
      </c>
      <c r="K1168" t="s">
        <v>56</v>
      </c>
      <c r="L1168">
        <v>0</v>
      </c>
      <c r="M1168" t="s">
        <v>73</v>
      </c>
      <c r="N1168">
        <v>0</v>
      </c>
      <c r="O1168" t="s">
        <v>58</v>
      </c>
      <c r="P1168" t="s">
        <v>59</v>
      </c>
      <c r="Q1168" t="s">
        <v>60</v>
      </c>
      <c r="R1168" t="s">
        <v>2243</v>
      </c>
      <c r="S1168" s="1">
        <v>44403</v>
      </c>
      <c r="T1168" s="1">
        <v>44406</v>
      </c>
      <c r="U1168">
        <v>37501</v>
      </c>
      <c r="V1168" t="s">
        <v>61</v>
      </c>
      <c r="W1168" t="s">
        <v>2244</v>
      </c>
      <c r="X1168" s="1">
        <v>44407</v>
      </c>
      <c r="Y1168" t="s">
        <v>100</v>
      </c>
      <c r="Z1168">
        <v>425</v>
      </c>
      <c r="AA1168">
        <v>16</v>
      </c>
      <c r="AB1168">
        <v>68</v>
      </c>
      <c r="AC1168">
        <v>0</v>
      </c>
      <c r="AD1168">
        <v>493</v>
      </c>
      <c r="AE1168">
        <v>3729.75</v>
      </c>
      <c r="AF1168">
        <v>3818</v>
      </c>
      <c r="AG1168" t="s">
        <v>2237</v>
      </c>
      <c r="AH1168" t="s">
        <v>65</v>
      </c>
      <c r="AI1168" t="s">
        <v>65</v>
      </c>
      <c r="AJ1168" t="s">
        <v>66</v>
      </c>
      <c r="AK1168" t="s">
        <v>66</v>
      </c>
      <c r="AL1168" t="s">
        <v>66</v>
      </c>
      <c r="AM1168" s="2" t="str">
        <f>HYPERLINK("https://transparencia.cidesi.mx/comprobantes/2021/CQ2100573 /C469370503.pdf")</f>
        <v>https://transparencia.cidesi.mx/comprobantes/2021/CQ2100573 /C469370503.pdf</v>
      </c>
      <c r="AN1168" t="str">
        <f>HYPERLINK("https://transparencia.cidesi.mx/comprobantes/2021/CQ2100573 /C469370503.pdf")</f>
        <v>https://transparencia.cidesi.mx/comprobantes/2021/CQ2100573 /C469370503.pdf</v>
      </c>
      <c r="AO1168" t="str">
        <f>HYPERLINK("https://transparencia.cidesi.mx/comprobantes/2021/CQ2100573 /C469370503.xml")</f>
        <v>https://transparencia.cidesi.mx/comprobantes/2021/CQ2100573 /C469370503.xml</v>
      </c>
      <c r="AP1168" t="s">
        <v>2243</v>
      </c>
      <c r="AQ1168" t="s">
        <v>2243</v>
      </c>
      <c r="AR1168" t="s">
        <v>2243</v>
      </c>
      <c r="AS1168" t="s">
        <v>2243</v>
      </c>
      <c r="AT1168" s="1">
        <v>44412</v>
      </c>
      <c r="AU1168" t="s">
        <v>73</v>
      </c>
    </row>
    <row r="1169" spans="1:47" x14ac:dyDescent="0.3">
      <c r="A1169" t="s">
        <v>47</v>
      </c>
      <c r="B1169" t="s">
        <v>48</v>
      </c>
      <c r="C1169" t="s">
        <v>392</v>
      </c>
      <c r="D1169">
        <v>100155</v>
      </c>
      <c r="E1169" t="s">
        <v>2233</v>
      </c>
      <c r="F1169" t="s">
        <v>769</v>
      </c>
      <c r="G1169" t="s">
        <v>404</v>
      </c>
      <c r="H1169" t="s">
        <v>2242</v>
      </c>
      <c r="I1169" t="s">
        <v>54</v>
      </c>
      <c r="J1169" t="s">
        <v>2243</v>
      </c>
      <c r="K1169" t="s">
        <v>56</v>
      </c>
      <c r="L1169">
        <v>0</v>
      </c>
      <c r="M1169" t="s">
        <v>73</v>
      </c>
      <c r="N1169">
        <v>0</v>
      </c>
      <c r="O1169" t="s">
        <v>58</v>
      </c>
      <c r="P1169" t="s">
        <v>59</v>
      </c>
      <c r="Q1169" t="s">
        <v>60</v>
      </c>
      <c r="R1169" t="s">
        <v>2243</v>
      </c>
      <c r="S1169" s="1">
        <v>44403</v>
      </c>
      <c r="T1169" s="1">
        <v>44406</v>
      </c>
      <c r="U1169">
        <v>37501</v>
      </c>
      <c r="V1169" t="s">
        <v>61</v>
      </c>
      <c r="W1169" t="s">
        <v>2244</v>
      </c>
      <c r="X1169" s="1">
        <v>44407</v>
      </c>
      <c r="Y1169" t="s">
        <v>100</v>
      </c>
      <c r="Z1169">
        <v>98.5</v>
      </c>
      <c r="AA1169">
        <v>0</v>
      </c>
      <c r="AB1169">
        <v>0</v>
      </c>
      <c r="AC1169">
        <v>0</v>
      </c>
      <c r="AD1169">
        <v>98.5</v>
      </c>
      <c r="AE1169">
        <v>3729.75</v>
      </c>
      <c r="AF1169">
        <v>3818</v>
      </c>
      <c r="AG1169" t="s">
        <v>2237</v>
      </c>
      <c r="AH1169" t="s">
        <v>65</v>
      </c>
      <c r="AI1169" t="s">
        <v>65</v>
      </c>
      <c r="AJ1169" t="s">
        <v>66</v>
      </c>
      <c r="AK1169" t="s">
        <v>66</v>
      </c>
      <c r="AL1169" t="s">
        <v>66</v>
      </c>
      <c r="AM1169" s="2" t="str">
        <f>HYPERLINK("https://transparencia.cidesi.mx/comprobantes/2021/CQ2100573 /C5FACTURA_1627662850324_339197103.pdf")</f>
        <v>https://transparencia.cidesi.mx/comprobantes/2021/CQ2100573 /C5FACTURA_1627662850324_339197103.pdf</v>
      </c>
      <c r="AN1169" t="str">
        <f>HYPERLINK("https://transparencia.cidesi.mx/comprobantes/2021/CQ2100573 /C5FACTURA_1627662850324_339197103.pdf")</f>
        <v>https://transparencia.cidesi.mx/comprobantes/2021/CQ2100573 /C5FACTURA_1627662850324_339197103.pdf</v>
      </c>
      <c r="AO1169" t="str">
        <f>HYPERLINK("https://transparencia.cidesi.mx/comprobantes/2021/CQ2100573 /C5FACTURA_1627662851434_339197103.xml")</f>
        <v>https://transparencia.cidesi.mx/comprobantes/2021/CQ2100573 /C5FACTURA_1627662851434_339197103.xml</v>
      </c>
      <c r="AP1169" t="s">
        <v>2243</v>
      </c>
      <c r="AQ1169" t="s">
        <v>2243</v>
      </c>
      <c r="AR1169" t="s">
        <v>2243</v>
      </c>
      <c r="AS1169" t="s">
        <v>2243</v>
      </c>
      <c r="AT1169" s="1">
        <v>44412</v>
      </c>
      <c r="AU1169" t="s">
        <v>73</v>
      </c>
    </row>
    <row r="1170" spans="1:47" x14ac:dyDescent="0.3">
      <c r="A1170" t="s">
        <v>47</v>
      </c>
      <c r="B1170" t="s">
        <v>48</v>
      </c>
      <c r="C1170" t="s">
        <v>392</v>
      </c>
      <c r="D1170">
        <v>100155</v>
      </c>
      <c r="E1170" t="s">
        <v>2233</v>
      </c>
      <c r="F1170" t="s">
        <v>769</v>
      </c>
      <c r="G1170" t="s">
        <v>404</v>
      </c>
      <c r="H1170" t="s">
        <v>2242</v>
      </c>
      <c r="I1170" t="s">
        <v>54</v>
      </c>
      <c r="J1170" t="s">
        <v>2243</v>
      </c>
      <c r="K1170" t="s">
        <v>56</v>
      </c>
      <c r="L1170">
        <v>0</v>
      </c>
      <c r="M1170" t="s">
        <v>73</v>
      </c>
      <c r="N1170">
        <v>0</v>
      </c>
      <c r="O1170" t="s">
        <v>58</v>
      </c>
      <c r="P1170" t="s">
        <v>59</v>
      </c>
      <c r="Q1170" t="s">
        <v>60</v>
      </c>
      <c r="R1170" t="s">
        <v>2243</v>
      </c>
      <c r="S1170" s="1">
        <v>44403</v>
      </c>
      <c r="T1170" s="1">
        <v>44406</v>
      </c>
      <c r="U1170">
        <v>37501</v>
      </c>
      <c r="V1170" t="s">
        <v>61</v>
      </c>
      <c r="W1170" t="s">
        <v>2244</v>
      </c>
      <c r="X1170" s="1">
        <v>44407</v>
      </c>
      <c r="Y1170" t="s">
        <v>100</v>
      </c>
      <c r="Z1170">
        <v>176.53</v>
      </c>
      <c r="AA1170">
        <v>16</v>
      </c>
      <c r="AB1170">
        <v>8.9700000000000006</v>
      </c>
      <c r="AC1170">
        <v>0</v>
      </c>
      <c r="AD1170">
        <v>185.5</v>
      </c>
      <c r="AE1170">
        <v>3729.75</v>
      </c>
      <c r="AF1170">
        <v>3818</v>
      </c>
      <c r="AG1170" t="s">
        <v>2237</v>
      </c>
      <c r="AH1170" t="s">
        <v>65</v>
      </c>
      <c r="AI1170" t="s">
        <v>65</v>
      </c>
      <c r="AJ1170" t="s">
        <v>66</v>
      </c>
      <c r="AK1170" t="s">
        <v>66</v>
      </c>
      <c r="AL1170" t="s">
        <v>66</v>
      </c>
      <c r="AM1170" s="2" t="str">
        <f>HYPERLINK("https://transparencia.cidesi.mx/comprobantes/2021/CQ2100573 /C6FACTURA_1627662078494_339192365.pdf")</f>
        <v>https://transparencia.cidesi.mx/comprobantes/2021/CQ2100573 /C6FACTURA_1627662078494_339192365.pdf</v>
      </c>
      <c r="AN1170" t="str">
        <f>HYPERLINK("https://transparencia.cidesi.mx/comprobantes/2021/CQ2100573 /C6FACTURA_1627662078494_339192365.pdf")</f>
        <v>https://transparencia.cidesi.mx/comprobantes/2021/CQ2100573 /C6FACTURA_1627662078494_339192365.pdf</v>
      </c>
      <c r="AO1170" t="str">
        <f>HYPERLINK("https://transparencia.cidesi.mx/comprobantes/2021/CQ2100573 /C6FACTURA_1627662078494_339192365.xml")</f>
        <v>https://transparencia.cidesi.mx/comprobantes/2021/CQ2100573 /C6FACTURA_1627662078494_339192365.xml</v>
      </c>
      <c r="AP1170" t="s">
        <v>2243</v>
      </c>
      <c r="AQ1170" t="s">
        <v>2243</v>
      </c>
      <c r="AR1170" t="s">
        <v>2243</v>
      </c>
      <c r="AS1170" t="s">
        <v>2243</v>
      </c>
      <c r="AT1170" s="1">
        <v>44412</v>
      </c>
      <c r="AU1170" t="s">
        <v>73</v>
      </c>
    </row>
    <row r="1171" spans="1:47" x14ac:dyDescent="0.3">
      <c r="A1171" t="s">
        <v>47</v>
      </c>
      <c r="B1171" t="s">
        <v>48</v>
      </c>
      <c r="C1171" t="s">
        <v>392</v>
      </c>
      <c r="D1171">
        <v>100155</v>
      </c>
      <c r="E1171" t="s">
        <v>2233</v>
      </c>
      <c r="F1171" t="s">
        <v>769</v>
      </c>
      <c r="G1171" t="s">
        <v>404</v>
      </c>
      <c r="H1171" t="s">
        <v>2242</v>
      </c>
      <c r="I1171" t="s">
        <v>54</v>
      </c>
      <c r="J1171" t="s">
        <v>2243</v>
      </c>
      <c r="K1171" t="s">
        <v>56</v>
      </c>
      <c r="L1171">
        <v>0</v>
      </c>
      <c r="M1171" t="s">
        <v>73</v>
      </c>
      <c r="N1171">
        <v>0</v>
      </c>
      <c r="O1171" t="s">
        <v>58</v>
      </c>
      <c r="P1171" t="s">
        <v>59</v>
      </c>
      <c r="Q1171" t="s">
        <v>60</v>
      </c>
      <c r="R1171" t="s">
        <v>2243</v>
      </c>
      <c r="S1171" s="1">
        <v>44403</v>
      </c>
      <c r="T1171" s="1">
        <v>44406</v>
      </c>
      <c r="U1171">
        <v>37501</v>
      </c>
      <c r="V1171" t="s">
        <v>61</v>
      </c>
      <c r="W1171" t="s">
        <v>2244</v>
      </c>
      <c r="X1171" s="1">
        <v>44407</v>
      </c>
      <c r="Y1171" t="s">
        <v>100</v>
      </c>
      <c r="Z1171">
        <v>156.12</v>
      </c>
      <c r="AA1171">
        <v>16</v>
      </c>
      <c r="AB1171">
        <v>3.38</v>
      </c>
      <c r="AC1171">
        <v>0</v>
      </c>
      <c r="AD1171">
        <v>159.5</v>
      </c>
      <c r="AE1171">
        <v>3729.75</v>
      </c>
      <c r="AF1171">
        <v>3818</v>
      </c>
      <c r="AG1171" t="s">
        <v>2237</v>
      </c>
      <c r="AH1171" t="s">
        <v>65</v>
      </c>
      <c r="AI1171" t="s">
        <v>65</v>
      </c>
      <c r="AJ1171" t="s">
        <v>66</v>
      </c>
      <c r="AK1171" t="s">
        <v>66</v>
      </c>
      <c r="AL1171" t="s">
        <v>66</v>
      </c>
      <c r="AM1171" s="2" t="str">
        <f>HYPERLINK("https://transparencia.cidesi.mx/comprobantes/2021/CQ2100573 /C7FACTURA_1627662533944_339195165 (1).pdf")</f>
        <v>https://transparencia.cidesi.mx/comprobantes/2021/CQ2100573 /C7FACTURA_1627662533944_339195165 (1).pdf</v>
      </c>
      <c r="AN1171" t="str">
        <f>HYPERLINK("https://transparencia.cidesi.mx/comprobantes/2021/CQ2100573 /C7FACTURA_1627662533944_339195165 (1).pdf")</f>
        <v>https://transparencia.cidesi.mx/comprobantes/2021/CQ2100573 /C7FACTURA_1627662533944_339195165 (1).pdf</v>
      </c>
      <c r="AO1171" t="str">
        <f>HYPERLINK("https://transparencia.cidesi.mx/comprobantes/2021/CQ2100573 /C7FACTURA_1627662533944_339195165 (1).xml")</f>
        <v>https://transparencia.cidesi.mx/comprobantes/2021/CQ2100573 /C7FACTURA_1627662533944_339195165 (1).xml</v>
      </c>
      <c r="AP1171" t="s">
        <v>2243</v>
      </c>
      <c r="AQ1171" t="s">
        <v>2243</v>
      </c>
      <c r="AR1171" t="s">
        <v>2243</v>
      </c>
      <c r="AS1171" t="s">
        <v>2243</v>
      </c>
      <c r="AT1171" s="1">
        <v>44412</v>
      </c>
      <c r="AU1171" t="s">
        <v>73</v>
      </c>
    </row>
    <row r="1172" spans="1:47" x14ac:dyDescent="0.3">
      <c r="A1172" t="s">
        <v>47</v>
      </c>
      <c r="B1172" t="s">
        <v>48</v>
      </c>
      <c r="C1172" t="s">
        <v>392</v>
      </c>
      <c r="D1172">
        <v>100155</v>
      </c>
      <c r="E1172" t="s">
        <v>2233</v>
      </c>
      <c r="F1172" t="s">
        <v>769</v>
      </c>
      <c r="G1172" t="s">
        <v>404</v>
      </c>
      <c r="H1172" t="s">
        <v>2242</v>
      </c>
      <c r="I1172" t="s">
        <v>54</v>
      </c>
      <c r="J1172" t="s">
        <v>2243</v>
      </c>
      <c r="K1172" t="s">
        <v>56</v>
      </c>
      <c r="L1172">
        <v>0</v>
      </c>
      <c r="M1172" t="s">
        <v>73</v>
      </c>
      <c r="N1172">
        <v>0</v>
      </c>
      <c r="O1172" t="s">
        <v>58</v>
      </c>
      <c r="P1172" t="s">
        <v>59</v>
      </c>
      <c r="Q1172" t="s">
        <v>60</v>
      </c>
      <c r="R1172" t="s">
        <v>2243</v>
      </c>
      <c r="S1172" s="1">
        <v>44403</v>
      </c>
      <c r="T1172" s="1">
        <v>44406</v>
      </c>
      <c r="U1172">
        <v>37501</v>
      </c>
      <c r="V1172" t="s">
        <v>1009</v>
      </c>
      <c r="W1172" t="s">
        <v>2244</v>
      </c>
      <c r="X1172" s="1">
        <v>44407</v>
      </c>
      <c r="Y1172" t="s">
        <v>100</v>
      </c>
      <c r="Z1172">
        <v>203.1</v>
      </c>
      <c r="AA1172">
        <v>16</v>
      </c>
      <c r="AB1172">
        <v>32.5</v>
      </c>
      <c r="AC1172">
        <v>0</v>
      </c>
      <c r="AD1172">
        <v>235.6</v>
      </c>
      <c r="AE1172">
        <v>3729.75</v>
      </c>
      <c r="AF1172">
        <v>3818</v>
      </c>
      <c r="AG1172" t="s">
        <v>2245</v>
      </c>
      <c r="AH1172" t="s">
        <v>66</v>
      </c>
      <c r="AI1172" t="s">
        <v>65</v>
      </c>
      <c r="AJ1172" t="s">
        <v>66</v>
      </c>
      <c r="AK1172" t="s">
        <v>66</v>
      </c>
      <c r="AL1172" t="s">
        <v>66</v>
      </c>
      <c r="AM1172" s="2" t="str">
        <f>HYPERLINK("https://transparencia.cidesi.mx/comprobantes/2021/CQ2100573 /C8FHO121005EFA-29-07-2021080444412-S1XSUR155843.pdf")</f>
        <v>https://transparencia.cidesi.mx/comprobantes/2021/CQ2100573 /C8FHO121005EFA-29-07-2021080444412-S1XSUR155843.pdf</v>
      </c>
      <c r="AN1172" t="str">
        <f>HYPERLINK("https://transparencia.cidesi.mx/comprobantes/2021/CQ2100573 /C8FHO121005EFA-29-07-2021080444412-S1XSUR155843.pdf")</f>
        <v>https://transparencia.cidesi.mx/comprobantes/2021/CQ2100573 /C8FHO121005EFA-29-07-2021080444412-S1XSUR155843.pdf</v>
      </c>
      <c r="AO1172" t="str">
        <f>HYPERLINK("https://transparencia.cidesi.mx/comprobantes/2021/CQ2100573 /C8FHO121005EFA-29-07-2021080444412-S1XSUR155843.xml")</f>
        <v>https://transparencia.cidesi.mx/comprobantes/2021/CQ2100573 /C8FHO121005EFA-29-07-2021080444412-S1XSUR155843.xml</v>
      </c>
      <c r="AP1172" t="s">
        <v>2243</v>
      </c>
      <c r="AQ1172" t="s">
        <v>2243</v>
      </c>
      <c r="AR1172" t="s">
        <v>2243</v>
      </c>
      <c r="AS1172" t="s">
        <v>2243</v>
      </c>
      <c r="AT1172" s="1">
        <v>44412</v>
      </c>
      <c r="AU1172" t="s">
        <v>73</v>
      </c>
    </row>
    <row r="1173" spans="1:47" x14ac:dyDescent="0.3">
      <c r="A1173" t="s">
        <v>47</v>
      </c>
      <c r="B1173" t="s">
        <v>48</v>
      </c>
      <c r="C1173" t="s">
        <v>392</v>
      </c>
      <c r="D1173">
        <v>100155</v>
      </c>
      <c r="E1173" t="s">
        <v>2233</v>
      </c>
      <c r="F1173" t="s">
        <v>769</v>
      </c>
      <c r="G1173" t="s">
        <v>404</v>
      </c>
      <c r="H1173" t="s">
        <v>2246</v>
      </c>
      <c r="I1173" t="s">
        <v>54</v>
      </c>
      <c r="J1173" t="s">
        <v>1355</v>
      </c>
      <c r="K1173" t="s">
        <v>56</v>
      </c>
      <c r="L1173">
        <v>0</v>
      </c>
      <c r="M1173" t="s">
        <v>73</v>
      </c>
      <c r="N1173">
        <v>0</v>
      </c>
      <c r="O1173" t="s">
        <v>58</v>
      </c>
      <c r="P1173" t="s">
        <v>59</v>
      </c>
      <c r="Q1173" t="s">
        <v>60</v>
      </c>
      <c r="R1173" t="s">
        <v>1355</v>
      </c>
      <c r="S1173" s="1">
        <v>44408</v>
      </c>
      <c r="T1173" s="1">
        <v>44408</v>
      </c>
      <c r="U1173">
        <v>37501</v>
      </c>
      <c r="V1173" t="s">
        <v>61</v>
      </c>
      <c r="W1173" t="s">
        <v>2247</v>
      </c>
      <c r="X1173" s="1">
        <v>44412</v>
      </c>
      <c r="Y1173" t="s">
        <v>63</v>
      </c>
      <c r="Z1173">
        <v>185</v>
      </c>
      <c r="AA1173">
        <v>16</v>
      </c>
      <c r="AB1173">
        <v>29.6</v>
      </c>
      <c r="AC1173">
        <v>0</v>
      </c>
      <c r="AD1173">
        <v>214.6</v>
      </c>
      <c r="AE1173">
        <v>214.6</v>
      </c>
      <c r="AF1173">
        <v>545</v>
      </c>
      <c r="AG1173" t="s">
        <v>2237</v>
      </c>
      <c r="AH1173" t="s">
        <v>65</v>
      </c>
      <c r="AI1173" t="s">
        <v>65</v>
      </c>
      <c r="AJ1173" t="s">
        <v>66</v>
      </c>
      <c r="AK1173" t="s">
        <v>66</v>
      </c>
      <c r="AL1173" t="s">
        <v>66</v>
      </c>
      <c r="AM1173" s="2" t="str">
        <f>HYPERLINK("https://transparencia.cidesi.mx/comprobantes/2021/CQ2100606 /C1F0000023914.pdf")</f>
        <v>https://transparencia.cidesi.mx/comprobantes/2021/CQ2100606 /C1F0000023914.pdf</v>
      </c>
      <c r="AN1173" t="str">
        <f>HYPERLINK("https://transparencia.cidesi.mx/comprobantes/2021/CQ2100606 /C1F0000023914.pdf")</f>
        <v>https://transparencia.cidesi.mx/comprobantes/2021/CQ2100606 /C1F0000023914.pdf</v>
      </c>
      <c r="AO1173" t="str">
        <f>HYPERLINK("https://transparencia.cidesi.mx/comprobantes/2021/CQ2100606 /C1F0000023914.xml")</f>
        <v>https://transparencia.cidesi.mx/comprobantes/2021/CQ2100606 /C1F0000023914.xml</v>
      </c>
      <c r="AP1173" t="s">
        <v>2248</v>
      </c>
      <c r="AQ1173" t="s">
        <v>2248</v>
      </c>
      <c r="AR1173" t="s">
        <v>2248</v>
      </c>
      <c r="AS1173" t="s">
        <v>2248</v>
      </c>
      <c r="AT1173" s="1">
        <v>44417</v>
      </c>
      <c r="AU1173" s="1">
        <v>44424</v>
      </c>
    </row>
    <row r="1174" spans="1:47" x14ac:dyDescent="0.3">
      <c r="A1174" t="s">
        <v>47</v>
      </c>
      <c r="B1174" t="s">
        <v>48</v>
      </c>
      <c r="C1174" t="s">
        <v>392</v>
      </c>
      <c r="D1174">
        <v>100155</v>
      </c>
      <c r="E1174" t="s">
        <v>2233</v>
      </c>
      <c r="F1174" t="s">
        <v>769</v>
      </c>
      <c r="G1174" t="s">
        <v>404</v>
      </c>
      <c r="H1174" t="s">
        <v>2249</v>
      </c>
      <c r="I1174" t="s">
        <v>54</v>
      </c>
      <c r="J1174" t="s">
        <v>2250</v>
      </c>
      <c r="K1174" t="s">
        <v>56</v>
      </c>
      <c r="L1174">
        <v>0</v>
      </c>
      <c r="M1174" t="s">
        <v>73</v>
      </c>
      <c r="N1174">
        <v>0</v>
      </c>
      <c r="O1174" t="s">
        <v>58</v>
      </c>
      <c r="P1174" t="s">
        <v>59</v>
      </c>
      <c r="Q1174" t="s">
        <v>274</v>
      </c>
      <c r="R1174" t="s">
        <v>2250</v>
      </c>
      <c r="S1174" s="1">
        <v>44427</v>
      </c>
      <c r="T1174" s="1">
        <v>44432</v>
      </c>
      <c r="U1174">
        <v>37501</v>
      </c>
      <c r="V1174" t="s">
        <v>104</v>
      </c>
      <c r="W1174" t="s">
        <v>2251</v>
      </c>
      <c r="X1174" s="1">
        <v>44440</v>
      </c>
      <c r="Y1174" t="s">
        <v>207</v>
      </c>
      <c r="Z1174">
        <v>386.25</v>
      </c>
      <c r="AA1174">
        <v>16</v>
      </c>
      <c r="AB1174">
        <v>60</v>
      </c>
      <c r="AC1174">
        <v>0</v>
      </c>
      <c r="AD1174">
        <v>446.25</v>
      </c>
      <c r="AE1174">
        <v>5567.74</v>
      </c>
      <c r="AF1174">
        <v>6000</v>
      </c>
      <c r="AG1174" t="s">
        <v>2238</v>
      </c>
      <c r="AH1174" t="s">
        <v>65</v>
      </c>
      <c r="AI1174" t="s">
        <v>65</v>
      </c>
      <c r="AJ1174" t="s">
        <v>66</v>
      </c>
      <c r="AK1174" t="s">
        <v>66</v>
      </c>
      <c r="AL1174" t="s">
        <v>66</v>
      </c>
      <c r="AM1174" s="2" t="str">
        <f>HYPERLINK("https://transparencia.cidesi.mx/comprobantes/2021/CQ2100721 /C112367934.pdf")</f>
        <v>https://transparencia.cidesi.mx/comprobantes/2021/CQ2100721 /C112367934.pdf</v>
      </c>
      <c r="AN1174" t="str">
        <f>HYPERLINK("https://transparencia.cidesi.mx/comprobantes/2021/CQ2100721 /C112367934.pdf")</f>
        <v>https://transparencia.cidesi.mx/comprobantes/2021/CQ2100721 /C112367934.pdf</v>
      </c>
      <c r="AO1174" t="str">
        <f>HYPERLINK("https://transparencia.cidesi.mx/comprobantes/2021/CQ2100721 /C112367934_timbrado.xml")</f>
        <v>https://transparencia.cidesi.mx/comprobantes/2021/CQ2100721 /C112367934_timbrado.xml</v>
      </c>
      <c r="AP1174" t="s">
        <v>2250</v>
      </c>
      <c r="AQ1174" t="s">
        <v>2250</v>
      </c>
      <c r="AR1174" t="s">
        <v>2250</v>
      </c>
      <c r="AS1174" t="s">
        <v>2250</v>
      </c>
      <c r="AT1174" s="1">
        <v>44440</v>
      </c>
      <c r="AU1174" t="s">
        <v>73</v>
      </c>
    </row>
    <row r="1175" spans="1:47" x14ac:dyDescent="0.3">
      <c r="A1175" t="s">
        <v>47</v>
      </c>
      <c r="B1175" t="s">
        <v>48</v>
      </c>
      <c r="C1175" t="s">
        <v>392</v>
      </c>
      <c r="D1175">
        <v>100155</v>
      </c>
      <c r="E1175" t="s">
        <v>2233</v>
      </c>
      <c r="F1175" t="s">
        <v>769</v>
      </c>
      <c r="G1175" t="s">
        <v>404</v>
      </c>
      <c r="H1175" t="s">
        <v>2249</v>
      </c>
      <c r="I1175" t="s">
        <v>54</v>
      </c>
      <c r="J1175" t="s">
        <v>2250</v>
      </c>
      <c r="K1175" t="s">
        <v>56</v>
      </c>
      <c r="L1175">
        <v>0</v>
      </c>
      <c r="M1175" t="s">
        <v>73</v>
      </c>
      <c r="N1175">
        <v>0</v>
      </c>
      <c r="O1175" t="s">
        <v>58</v>
      </c>
      <c r="P1175" t="s">
        <v>59</v>
      </c>
      <c r="Q1175" t="s">
        <v>274</v>
      </c>
      <c r="R1175" t="s">
        <v>2250</v>
      </c>
      <c r="S1175" s="1">
        <v>44427</v>
      </c>
      <c r="T1175" s="1">
        <v>44432</v>
      </c>
      <c r="U1175">
        <v>37501</v>
      </c>
      <c r="V1175" t="s">
        <v>104</v>
      </c>
      <c r="W1175" t="s">
        <v>2251</v>
      </c>
      <c r="X1175" s="1">
        <v>44440</v>
      </c>
      <c r="Y1175" t="s">
        <v>207</v>
      </c>
      <c r="Z1175">
        <v>386.25</v>
      </c>
      <c r="AA1175">
        <v>16</v>
      </c>
      <c r="AB1175">
        <v>60</v>
      </c>
      <c r="AC1175">
        <v>0</v>
      </c>
      <c r="AD1175">
        <v>446.25</v>
      </c>
      <c r="AE1175">
        <v>5567.74</v>
      </c>
      <c r="AF1175">
        <v>6000</v>
      </c>
      <c r="AG1175" t="s">
        <v>2238</v>
      </c>
      <c r="AH1175" t="s">
        <v>65</v>
      </c>
      <c r="AI1175" t="s">
        <v>65</v>
      </c>
      <c r="AJ1175" t="s">
        <v>66</v>
      </c>
      <c r="AK1175" t="s">
        <v>66</v>
      </c>
      <c r="AL1175" t="s">
        <v>66</v>
      </c>
      <c r="AM1175" s="2" t="str">
        <f>HYPERLINK("https://transparencia.cidesi.mx/comprobantes/2021/CQ2100721 /C212367922.pdf")</f>
        <v>https://transparencia.cidesi.mx/comprobantes/2021/CQ2100721 /C212367922.pdf</v>
      </c>
      <c r="AN1175" t="str">
        <f>HYPERLINK("https://transparencia.cidesi.mx/comprobantes/2021/CQ2100721 /C212367922.pdf")</f>
        <v>https://transparencia.cidesi.mx/comprobantes/2021/CQ2100721 /C212367922.pdf</v>
      </c>
      <c r="AO1175" t="str">
        <f>HYPERLINK("https://transparencia.cidesi.mx/comprobantes/2021/CQ2100721 /C212367922_timbrado.xml")</f>
        <v>https://transparencia.cidesi.mx/comprobantes/2021/CQ2100721 /C212367922_timbrado.xml</v>
      </c>
      <c r="AP1175" t="s">
        <v>2250</v>
      </c>
      <c r="AQ1175" t="s">
        <v>2250</v>
      </c>
      <c r="AR1175" t="s">
        <v>2250</v>
      </c>
      <c r="AS1175" t="s">
        <v>2250</v>
      </c>
      <c r="AT1175" s="1">
        <v>44440</v>
      </c>
      <c r="AU1175" t="s">
        <v>73</v>
      </c>
    </row>
    <row r="1176" spans="1:47" x14ac:dyDescent="0.3">
      <c r="A1176" t="s">
        <v>47</v>
      </c>
      <c r="B1176" t="s">
        <v>48</v>
      </c>
      <c r="C1176" t="s">
        <v>392</v>
      </c>
      <c r="D1176">
        <v>100155</v>
      </c>
      <c r="E1176" t="s">
        <v>2233</v>
      </c>
      <c r="F1176" t="s">
        <v>769</v>
      </c>
      <c r="G1176" t="s">
        <v>404</v>
      </c>
      <c r="H1176" t="s">
        <v>2249</v>
      </c>
      <c r="I1176" t="s">
        <v>54</v>
      </c>
      <c r="J1176" t="s">
        <v>2250</v>
      </c>
      <c r="K1176" t="s">
        <v>56</v>
      </c>
      <c r="L1176">
        <v>0</v>
      </c>
      <c r="M1176" t="s">
        <v>73</v>
      </c>
      <c r="N1176">
        <v>0</v>
      </c>
      <c r="O1176" t="s">
        <v>58</v>
      </c>
      <c r="P1176" t="s">
        <v>59</v>
      </c>
      <c r="Q1176" t="s">
        <v>274</v>
      </c>
      <c r="R1176" t="s">
        <v>2250</v>
      </c>
      <c r="S1176" s="1">
        <v>44427</v>
      </c>
      <c r="T1176" s="1">
        <v>44432</v>
      </c>
      <c r="U1176">
        <v>37501</v>
      </c>
      <c r="V1176" t="s">
        <v>104</v>
      </c>
      <c r="W1176" t="s">
        <v>2251</v>
      </c>
      <c r="X1176" s="1">
        <v>44440</v>
      </c>
      <c r="Y1176" t="s">
        <v>207</v>
      </c>
      <c r="Z1176">
        <v>386.25</v>
      </c>
      <c r="AA1176">
        <v>16</v>
      </c>
      <c r="AB1176">
        <v>60</v>
      </c>
      <c r="AC1176">
        <v>0</v>
      </c>
      <c r="AD1176">
        <v>446.25</v>
      </c>
      <c r="AE1176">
        <v>5567.74</v>
      </c>
      <c r="AF1176">
        <v>6000</v>
      </c>
      <c r="AG1176" t="s">
        <v>2238</v>
      </c>
      <c r="AH1176" t="s">
        <v>65</v>
      </c>
      <c r="AI1176" t="s">
        <v>65</v>
      </c>
      <c r="AJ1176" t="s">
        <v>66</v>
      </c>
      <c r="AK1176" t="s">
        <v>66</v>
      </c>
      <c r="AL1176" t="s">
        <v>66</v>
      </c>
      <c r="AM1176" s="2" t="str">
        <f>HYPERLINK("https://transparencia.cidesi.mx/comprobantes/2021/CQ2100721 /C312334308.pdf")</f>
        <v>https://transparencia.cidesi.mx/comprobantes/2021/CQ2100721 /C312334308.pdf</v>
      </c>
      <c r="AN1176" t="str">
        <f>HYPERLINK("https://transparencia.cidesi.mx/comprobantes/2021/CQ2100721 /C312334308.pdf")</f>
        <v>https://transparencia.cidesi.mx/comprobantes/2021/CQ2100721 /C312334308.pdf</v>
      </c>
      <c r="AO1176" t="str">
        <f>HYPERLINK("https://transparencia.cidesi.mx/comprobantes/2021/CQ2100721 /C312334308_timbrado.xml")</f>
        <v>https://transparencia.cidesi.mx/comprobantes/2021/CQ2100721 /C312334308_timbrado.xml</v>
      </c>
      <c r="AP1176" t="s">
        <v>2250</v>
      </c>
      <c r="AQ1176" t="s">
        <v>2250</v>
      </c>
      <c r="AR1176" t="s">
        <v>2250</v>
      </c>
      <c r="AS1176" t="s">
        <v>2250</v>
      </c>
      <c r="AT1176" s="1">
        <v>44440</v>
      </c>
      <c r="AU1176" t="s">
        <v>73</v>
      </c>
    </row>
    <row r="1177" spans="1:47" x14ac:dyDescent="0.3">
      <c r="A1177" t="s">
        <v>47</v>
      </c>
      <c r="B1177" t="s">
        <v>48</v>
      </c>
      <c r="C1177" t="s">
        <v>392</v>
      </c>
      <c r="D1177">
        <v>100155</v>
      </c>
      <c r="E1177" t="s">
        <v>2233</v>
      </c>
      <c r="F1177" t="s">
        <v>769</v>
      </c>
      <c r="G1177" t="s">
        <v>404</v>
      </c>
      <c r="H1177" t="s">
        <v>2249</v>
      </c>
      <c r="I1177" t="s">
        <v>54</v>
      </c>
      <c r="J1177" t="s">
        <v>2250</v>
      </c>
      <c r="K1177" t="s">
        <v>56</v>
      </c>
      <c r="L1177">
        <v>0</v>
      </c>
      <c r="M1177" t="s">
        <v>73</v>
      </c>
      <c r="N1177">
        <v>0</v>
      </c>
      <c r="O1177" t="s">
        <v>58</v>
      </c>
      <c r="P1177" t="s">
        <v>59</v>
      </c>
      <c r="Q1177" t="s">
        <v>274</v>
      </c>
      <c r="R1177" t="s">
        <v>2250</v>
      </c>
      <c r="S1177" s="1">
        <v>44427</v>
      </c>
      <c r="T1177" s="1">
        <v>44432</v>
      </c>
      <c r="U1177">
        <v>37501</v>
      </c>
      <c r="V1177" t="s">
        <v>104</v>
      </c>
      <c r="W1177" t="s">
        <v>2251</v>
      </c>
      <c r="X1177" s="1">
        <v>44440</v>
      </c>
      <c r="Y1177" t="s">
        <v>207</v>
      </c>
      <c r="Z1177">
        <v>386.25</v>
      </c>
      <c r="AA1177">
        <v>16</v>
      </c>
      <c r="AB1177">
        <v>60</v>
      </c>
      <c r="AC1177">
        <v>0</v>
      </c>
      <c r="AD1177">
        <v>446.25</v>
      </c>
      <c r="AE1177">
        <v>5567.74</v>
      </c>
      <c r="AF1177">
        <v>6000</v>
      </c>
      <c r="AG1177" t="s">
        <v>2238</v>
      </c>
      <c r="AH1177" t="s">
        <v>65</v>
      </c>
      <c r="AI1177" t="s">
        <v>65</v>
      </c>
      <c r="AJ1177" t="s">
        <v>66</v>
      </c>
      <c r="AK1177" t="s">
        <v>66</v>
      </c>
      <c r="AL1177" t="s">
        <v>66</v>
      </c>
      <c r="AM1177" s="2" t="str">
        <f>HYPERLINK("https://transparencia.cidesi.mx/comprobantes/2021/CQ2100721 /C412320869.pdf")</f>
        <v>https://transparencia.cidesi.mx/comprobantes/2021/CQ2100721 /C412320869.pdf</v>
      </c>
      <c r="AN1177" t="str">
        <f>HYPERLINK("https://transparencia.cidesi.mx/comprobantes/2021/CQ2100721 /C412320869.pdf")</f>
        <v>https://transparencia.cidesi.mx/comprobantes/2021/CQ2100721 /C412320869.pdf</v>
      </c>
      <c r="AO1177" t="str">
        <f>HYPERLINK("https://transparencia.cidesi.mx/comprobantes/2021/CQ2100721 /C412320869_timbrado.xml")</f>
        <v>https://transparencia.cidesi.mx/comprobantes/2021/CQ2100721 /C412320869_timbrado.xml</v>
      </c>
      <c r="AP1177" t="s">
        <v>2250</v>
      </c>
      <c r="AQ1177" t="s">
        <v>2250</v>
      </c>
      <c r="AR1177" t="s">
        <v>2250</v>
      </c>
      <c r="AS1177" t="s">
        <v>2250</v>
      </c>
      <c r="AT1177" s="1">
        <v>44440</v>
      </c>
      <c r="AU1177" t="s">
        <v>73</v>
      </c>
    </row>
    <row r="1178" spans="1:47" x14ac:dyDescent="0.3">
      <c r="A1178" t="s">
        <v>47</v>
      </c>
      <c r="B1178" t="s">
        <v>48</v>
      </c>
      <c r="C1178" t="s">
        <v>392</v>
      </c>
      <c r="D1178">
        <v>100155</v>
      </c>
      <c r="E1178" t="s">
        <v>2233</v>
      </c>
      <c r="F1178" t="s">
        <v>769</v>
      </c>
      <c r="G1178" t="s">
        <v>404</v>
      </c>
      <c r="H1178" t="s">
        <v>2249</v>
      </c>
      <c r="I1178" t="s">
        <v>54</v>
      </c>
      <c r="J1178" t="s">
        <v>2250</v>
      </c>
      <c r="K1178" t="s">
        <v>56</v>
      </c>
      <c r="L1178">
        <v>0</v>
      </c>
      <c r="M1178" t="s">
        <v>73</v>
      </c>
      <c r="N1178">
        <v>0</v>
      </c>
      <c r="O1178" t="s">
        <v>58</v>
      </c>
      <c r="P1178" t="s">
        <v>59</v>
      </c>
      <c r="Q1178" t="s">
        <v>274</v>
      </c>
      <c r="R1178" t="s">
        <v>2250</v>
      </c>
      <c r="S1178" s="1">
        <v>44427</v>
      </c>
      <c r="T1178" s="1">
        <v>44432</v>
      </c>
      <c r="U1178">
        <v>37501</v>
      </c>
      <c r="V1178" t="s">
        <v>104</v>
      </c>
      <c r="W1178" t="s">
        <v>2251</v>
      </c>
      <c r="X1178" s="1">
        <v>44440</v>
      </c>
      <c r="Y1178" t="s">
        <v>207</v>
      </c>
      <c r="Z1178">
        <v>386.25</v>
      </c>
      <c r="AA1178">
        <v>16</v>
      </c>
      <c r="AB1178">
        <v>60</v>
      </c>
      <c r="AC1178">
        <v>0</v>
      </c>
      <c r="AD1178">
        <v>446.25</v>
      </c>
      <c r="AE1178">
        <v>5567.74</v>
      </c>
      <c r="AF1178">
        <v>6000</v>
      </c>
      <c r="AG1178" t="s">
        <v>2238</v>
      </c>
      <c r="AH1178" t="s">
        <v>65</v>
      </c>
      <c r="AI1178" t="s">
        <v>65</v>
      </c>
      <c r="AJ1178" t="s">
        <v>66</v>
      </c>
      <c r="AK1178" t="s">
        <v>66</v>
      </c>
      <c r="AL1178" t="s">
        <v>66</v>
      </c>
      <c r="AM1178" s="2" t="str">
        <f>HYPERLINK("https://transparencia.cidesi.mx/comprobantes/2021/CQ2100721 /C512336781 (1).pdf")</f>
        <v>https://transparencia.cidesi.mx/comprobantes/2021/CQ2100721 /C512336781 (1).pdf</v>
      </c>
      <c r="AN1178" t="str">
        <f>HYPERLINK("https://transparencia.cidesi.mx/comprobantes/2021/CQ2100721 /C512336781 (1).pdf")</f>
        <v>https://transparencia.cidesi.mx/comprobantes/2021/CQ2100721 /C512336781 (1).pdf</v>
      </c>
      <c r="AO1178" t="str">
        <f>HYPERLINK("https://transparencia.cidesi.mx/comprobantes/2021/CQ2100721 /C512336781_timbrado (1).xml")</f>
        <v>https://transparencia.cidesi.mx/comprobantes/2021/CQ2100721 /C512336781_timbrado (1).xml</v>
      </c>
      <c r="AP1178" t="s">
        <v>2250</v>
      </c>
      <c r="AQ1178" t="s">
        <v>2250</v>
      </c>
      <c r="AR1178" t="s">
        <v>2250</v>
      </c>
      <c r="AS1178" t="s">
        <v>2250</v>
      </c>
      <c r="AT1178" s="1">
        <v>44440</v>
      </c>
      <c r="AU1178" t="s">
        <v>73</v>
      </c>
    </row>
    <row r="1179" spans="1:47" x14ac:dyDescent="0.3">
      <c r="A1179" t="s">
        <v>47</v>
      </c>
      <c r="B1179" t="s">
        <v>48</v>
      </c>
      <c r="C1179" t="s">
        <v>392</v>
      </c>
      <c r="D1179">
        <v>100155</v>
      </c>
      <c r="E1179" t="s">
        <v>2233</v>
      </c>
      <c r="F1179" t="s">
        <v>769</v>
      </c>
      <c r="G1179" t="s">
        <v>404</v>
      </c>
      <c r="H1179" t="s">
        <v>2249</v>
      </c>
      <c r="I1179" t="s">
        <v>54</v>
      </c>
      <c r="J1179" t="s">
        <v>2250</v>
      </c>
      <c r="K1179" t="s">
        <v>56</v>
      </c>
      <c r="L1179">
        <v>0</v>
      </c>
      <c r="M1179" t="s">
        <v>73</v>
      </c>
      <c r="N1179">
        <v>0</v>
      </c>
      <c r="O1179" t="s">
        <v>58</v>
      </c>
      <c r="P1179" t="s">
        <v>59</v>
      </c>
      <c r="Q1179" t="s">
        <v>274</v>
      </c>
      <c r="R1179" t="s">
        <v>2250</v>
      </c>
      <c r="S1179" s="1">
        <v>44427</v>
      </c>
      <c r="T1179" s="1">
        <v>44432</v>
      </c>
      <c r="U1179">
        <v>37501</v>
      </c>
      <c r="V1179" t="s">
        <v>61</v>
      </c>
      <c r="W1179" t="s">
        <v>2251</v>
      </c>
      <c r="X1179" s="1">
        <v>44440</v>
      </c>
      <c r="Y1179" t="s">
        <v>207</v>
      </c>
      <c r="Z1179">
        <v>420.68</v>
      </c>
      <c r="AA1179">
        <v>16</v>
      </c>
      <c r="AB1179">
        <v>67.31</v>
      </c>
      <c r="AC1179">
        <v>0</v>
      </c>
      <c r="AD1179">
        <v>487.99</v>
      </c>
      <c r="AE1179">
        <v>5567.74</v>
      </c>
      <c r="AF1179">
        <v>6000</v>
      </c>
      <c r="AG1179" t="s">
        <v>2237</v>
      </c>
      <c r="AH1179" t="s">
        <v>65</v>
      </c>
      <c r="AI1179" t="s">
        <v>65</v>
      </c>
      <c r="AJ1179" t="s">
        <v>66</v>
      </c>
      <c r="AK1179" t="s">
        <v>66</v>
      </c>
      <c r="AL1179" t="s">
        <v>66</v>
      </c>
      <c r="AM1179" s="2" t="str">
        <f>HYPERLINK("https://transparencia.cidesi.mx/comprobantes/2021/CQ2100721 /C6fc55881F.pdf")</f>
        <v>https://transparencia.cidesi.mx/comprobantes/2021/CQ2100721 /C6fc55881F.pdf</v>
      </c>
      <c r="AN1179" t="str">
        <f>HYPERLINK("https://transparencia.cidesi.mx/comprobantes/2021/CQ2100721 /C6fc55881F.pdf")</f>
        <v>https://transparencia.cidesi.mx/comprobantes/2021/CQ2100721 /C6fc55881F.pdf</v>
      </c>
      <c r="AO1179" t="str">
        <f>HYPERLINK("https://transparencia.cidesi.mx/comprobantes/2021/CQ2100721 /C655881F_xml.xml")</f>
        <v>https://transparencia.cidesi.mx/comprobantes/2021/CQ2100721 /C655881F_xml.xml</v>
      </c>
      <c r="AP1179" t="s">
        <v>2250</v>
      </c>
      <c r="AQ1179" t="s">
        <v>2250</v>
      </c>
      <c r="AR1179" t="s">
        <v>2250</v>
      </c>
      <c r="AS1179" t="s">
        <v>2250</v>
      </c>
      <c r="AT1179" s="1">
        <v>44440</v>
      </c>
      <c r="AU1179" t="s">
        <v>73</v>
      </c>
    </row>
    <row r="1180" spans="1:47" x14ac:dyDescent="0.3">
      <c r="A1180" t="s">
        <v>47</v>
      </c>
      <c r="B1180" t="s">
        <v>48</v>
      </c>
      <c r="C1180" t="s">
        <v>392</v>
      </c>
      <c r="D1180">
        <v>100155</v>
      </c>
      <c r="E1180" t="s">
        <v>2233</v>
      </c>
      <c r="F1180" t="s">
        <v>769</v>
      </c>
      <c r="G1180" t="s">
        <v>404</v>
      </c>
      <c r="H1180" t="s">
        <v>2249</v>
      </c>
      <c r="I1180" t="s">
        <v>54</v>
      </c>
      <c r="J1180" t="s">
        <v>2250</v>
      </c>
      <c r="K1180" t="s">
        <v>56</v>
      </c>
      <c r="L1180">
        <v>0</v>
      </c>
      <c r="M1180" t="s">
        <v>73</v>
      </c>
      <c r="N1180">
        <v>0</v>
      </c>
      <c r="O1180" t="s">
        <v>58</v>
      </c>
      <c r="P1180" t="s">
        <v>59</v>
      </c>
      <c r="Q1180" t="s">
        <v>274</v>
      </c>
      <c r="R1180" t="s">
        <v>2250</v>
      </c>
      <c r="S1180" s="1">
        <v>44427</v>
      </c>
      <c r="T1180" s="1">
        <v>44432</v>
      </c>
      <c r="U1180">
        <v>37501</v>
      </c>
      <c r="V1180" t="s">
        <v>61</v>
      </c>
      <c r="W1180" t="s">
        <v>2251</v>
      </c>
      <c r="X1180" s="1">
        <v>44440</v>
      </c>
      <c r="Y1180" t="s">
        <v>207</v>
      </c>
      <c r="Z1180">
        <v>196.71</v>
      </c>
      <c r="AA1180">
        <v>16</v>
      </c>
      <c r="AB1180">
        <v>3.79</v>
      </c>
      <c r="AC1180">
        <v>0</v>
      </c>
      <c r="AD1180">
        <v>200.5</v>
      </c>
      <c r="AE1180">
        <v>5567.74</v>
      </c>
      <c r="AF1180">
        <v>6000</v>
      </c>
      <c r="AG1180" t="s">
        <v>2237</v>
      </c>
      <c r="AH1180" t="s">
        <v>65</v>
      </c>
      <c r="AI1180" t="s">
        <v>65</v>
      </c>
      <c r="AJ1180" t="s">
        <v>66</v>
      </c>
      <c r="AK1180" t="s">
        <v>66</v>
      </c>
      <c r="AL1180" t="s">
        <v>66</v>
      </c>
      <c r="AM1180" s="2" t="str">
        <f>HYPERLINK("https://transparencia.cidesi.mx/comprobantes/2021/CQ2100721 /C7FACTURA_1630190890306_342571237.pdf")</f>
        <v>https://transparencia.cidesi.mx/comprobantes/2021/CQ2100721 /C7FACTURA_1630190890306_342571237.pdf</v>
      </c>
      <c r="AN1180" t="str">
        <f>HYPERLINK("https://transparencia.cidesi.mx/comprobantes/2021/CQ2100721 /C7FACTURA_1630190890306_342571237.pdf")</f>
        <v>https://transparencia.cidesi.mx/comprobantes/2021/CQ2100721 /C7FACTURA_1630190890306_342571237.pdf</v>
      </c>
      <c r="AO1180" t="str">
        <f>HYPERLINK("https://transparencia.cidesi.mx/comprobantes/2021/CQ2100721 /C7FACTURA_1630190891306_342571237.xml")</f>
        <v>https://transparencia.cidesi.mx/comprobantes/2021/CQ2100721 /C7FACTURA_1630190891306_342571237.xml</v>
      </c>
      <c r="AP1180" t="s">
        <v>2250</v>
      </c>
      <c r="AQ1180" t="s">
        <v>2250</v>
      </c>
      <c r="AR1180" t="s">
        <v>2250</v>
      </c>
      <c r="AS1180" t="s">
        <v>2250</v>
      </c>
      <c r="AT1180" s="1">
        <v>44440</v>
      </c>
      <c r="AU1180" t="s">
        <v>73</v>
      </c>
    </row>
    <row r="1181" spans="1:47" x14ac:dyDescent="0.3">
      <c r="A1181" t="s">
        <v>47</v>
      </c>
      <c r="B1181" t="s">
        <v>48</v>
      </c>
      <c r="C1181" t="s">
        <v>392</v>
      </c>
      <c r="D1181">
        <v>100155</v>
      </c>
      <c r="E1181" t="s">
        <v>2233</v>
      </c>
      <c r="F1181" t="s">
        <v>769</v>
      </c>
      <c r="G1181" t="s">
        <v>404</v>
      </c>
      <c r="H1181" t="s">
        <v>2249</v>
      </c>
      <c r="I1181" t="s">
        <v>54</v>
      </c>
      <c r="J1181" t="s">
        <v>2250</v>
      </c>
      <c r="K1181" t="s">
        <v>56</v>
      </c>
      <c r="L1181">
        <v>0</v>
      </c>
      <c r="M1181" t="s">
        <v>73</v>
      </c>
      <c r="N1181">
        <v>0</v>
      </c>
      <c r="O1181" t="s">
        <v>58</v>
      </c>
      <c r="P1181" t="s">
        <v>59</v>
      </c>
      <c r="Q1181" t="s">
        <v>274</v>
      </c>
      <c r="R1181" t="s">
        <v>2250</v>
      </c>
      <c r="S1181" s="1">
        <v>44427</v>
      </c>
      <c r="T1181" s="1">
        <v>44432</v>
      </c>
      <c r="U1181">
        <v>37501</v>
      </c>
      <c r="V1181" t="s">
        <v>61</v>
      </c>
      <c r="W1181" t="s">
        <v>2251</v>
      </c>
      <c r="X1181" s="1">
        <v>44440</v>
      </c>
      <c r="Y1181" t="s">
        <v>207</v>
      </c>
      <c r="Z1181">
        <v>352.6</v>
      </c>
      <c r="AA1181">
        <v>16</v>
      </c>
      <c r="AB1181">
        <v>20.399999999999999</v>
      </c>
      <c r="AC1181">
        <v>0</v>
      </c>
      <c r="AD1181">
        <v>373</v>
      </c>
      <c r="AE1181">
        <v>5567.74</v>
      </c>
      <c r="AF1181">
        <v>6000</v>
      </c>
      <c r="AG1181" t="s">
        <v>2237</v>
      </c>
      <c r="AH1181" t="s">
        <v>65</v>
      </c>
      <c r="AI1181" t="s">
        <v>65</v>
      </c>
      <c r="AJ1181" t="s">
        <v>66</v>
      </c>
      <c r="AK1181" t="s">
        <v>66</v>
      </c>
      <c r="AL1181" t="s">
        <v>66</v>
      </c>
      <c r="AM1181" s="2" t="str">
        <f>HYPERLINK("https://transparencia.cidesi.mx/comprobantes/2021/CQ2100721 /C8FACTURA_1630191073946_342571589.pdf")</f>
        <v>https://transparencia.cidesi.mx/comprobantes/2021/CQ2100721 /C8FACTURA_1630191073946_342571589.pdf</v>
      </c>
      <c r="AN1181" t="str">
        <f>HYPERLINK("https://transparencia.cidesi.mx/comprobantes/2021/CQ2100721 /C8FACTURA_1630191073946_342571589.pdf")</f>
        <v>https://transparencia.cidesi.mx/comprobantes/2021/CQ2100721 /C8FACTURA_1630191073946_342571589.pdf</v>
      </c>
      <c r="AO1181" t="str">
        <f>HYPERLINK("https://transparencia.cidesi.mx/comprobantes/2021/CQ2100721 /C8FACTURA_1630191075616_342571589.xml")</f>
        <v>https://transparencia.cidesi.mx/comprobantes/2021/CQ2100721 /C8FACTURA_1630191075616_342571589.xml</v>
      </c>
      <c r="AP1181" t="s">
        <v>2250</v>
      </c>
      <c r="AQ1181" t="s">
        <v>2250</v>
      </c>
      <c r="AR1181" t="s">
        <v>2250</v>
      </c>
      <c r="AS1181" t="s">
        <v>2250</v>
      </c>
      <c r="AT1181" s="1">
        <v>44440</v>
      </c>
      <c r="AU1181" t="s">
        <v>73</v>
      </c>
    </row>
    <row r="1182" spans="1:47" x14ac:dyDescent="0.3">
      <c r="A1182" t="s">
        <v>47</v>
      </c>
      <c r="B1182" t="s">
        <v>48</v>
      </c>
      <c r="C1182" t="s">
        <v>392</v>
      </c>
      <c r="D1182">
        <v>100155</v>
      </c>
      <c r="E1182" t="s">
        <v>2233</v>
      </c>
      <c r="F1182" t="s">
        <v>769</v>
      </c>
      <c r="G1182" t="s">
        <v>404</v>
      </c>
      <c r="H1182" t="s">
        <v>2249</v>
      </c>
      <c r="I1182" t="s">
        <v>54</v>
      </c>
      <c r="J1182" t="s">
        <v>2250</v>
      </c>
      <c r="K1182" t="s">
        <v>56</v>
      </c>
      <c r="L1182">
        <v>0</v>
      </c>
      <c r="M1182" t="s">
        <v>73</v>
      </c>
      <c r="N1182">
        <v>0</v>
      </c>
      <c r="O1182" t="s">
        <v>58</v>
      </c>
      <c r="P1182" t="s">
        <v>59</v>
      </c>
      <c r="Q1182" t="s">
        <v>274</v>
      </c>
      <c r="R1182" t="s">
        <v>2250</v>
      </c>
      <c r="S1182" s="1">
        <v>44427</v>
      </c>
      <c r="T1182" s="1">
        <v>44432</v>
      </c>
      <c r="U1182">
        <v>37501</v>
      </c>
      <c r="V1182" t="s">
        <v>61</v>
      </c>
      <c r="W1182" t="s">
        <v>2251</v>
      </c>
      <c r="X1182" s="1">
        <v>44440</v>
      </c>
      <c r="Y1182" t="s">
        <v>207</v>
      </c>
      <c r="Z1182">
        <v>323.27999999999997</v>
      </c>
      <c r="AA1182">
        <v>16</v>
      </c>
      <c r="AB1182">
        <v>51.72</v>
      </c>
      <c r="AC1182">
        <v>0</v>
      </c>
      <c r="AD1182">
        <v>375</v>
      </c>
      <c r="AE1182">
        <v>5567.74</v>
      </c>
      <c r="AF1182">
        <v>6000</v>
      </c>
      <c r="AG1182" t="s">
        <v>2237</v>
      </c>
      <c r="AH1182" t="s">
        <v>65</v>
      </c>
      <c r="AI1182" t="s">
        <v>65</v>
      </c>
      <c r="AJ1182" t="s">
        <v>66</v>
      </c>
      <c r="AK1182" t="s">
        <v>66</v>
      </c>
      <c r="AL1182" t="s">
        <v>66</v>
      </c>
      <c r="AM1182" s="2" t="str">
        <f>HYPERLINK("https://transparencia.cidesi.mx/comprobantes/2021/CQ2100721 /C9Factura-137.pdf")</f>
        <v>https://transparencia.cidesi.mx/comprobantes/2021/CQ2100721 /C9Factura-137.pdf</v>
      </c>
      <c r="AN1182" t="str">
        <f>HYPERLINK("https://transparencia.cidesi.mx/comprobantes/2021/CQ2100721 /C9Factura-137.pdf")</f>
        <v>https://transparencia.cidesi.mx/comprobantes/2021/CQ2100721 /C9Factura-137.pdf</v>
      </c>
      <c r="AO1182" t="str">
        <f>HYPERLINK("https://transparencia.cidesi.mx/comprobantes/2021/CQ2100721 /C9Factura-137.xml")</f>
        <v>https://transparencia.cidesi.mx/comprobantes/2021/CQ2100721 /C9Factura-137.xml</v>
      </c>
      <c r="AP1182" t="s">
        <v>2250</v>
      </c>
      <c r="AQ1182" t="s">
        <v>2250</v>
      </c>
      <c r="AR1182" t="s">
        <v>2250</v>
      </c>
      <c r="AS1182" t="s">
        <v>2250</v>
      </c>
      <c r="AT1182" s="1">
        <v>44440</v>
      </c>
      <c r="AU1182" t="s">
        <v>73</v>
      </c>
    </row>
    <row r="1183" spans="1:47" x14ac:dyDescent="0.3">
      <c r="A1183" t="s">
        <v>47</v>
      </c>
      <c r="B1183" t="s">
        <v>48</v>
      </c>
      <c r="C1183" t="s">
        <v>392</v>
      </c>
      <c r="D1183">
        <v>100155</v>
      </c>
      <c r="E1183" t="s">
        <v>2233</v>
      </c>
      <c r="F1183" t="s">
        <v>769</v>
      </c>
      <c r="G1183" t="s">
        <v>404</v>
      </c>
      <c r="H1183" t="s">
        <v>2249</v>
      </c>
      <c r="I1183" t="s">
        <v>54</v>
      </c>
      <c r="J1183" t="s">
        <v>2250</v>
      </c>
      <c r="K1183" t="s">
        <v>56</v>
      </c>
      <c r="L1183">
        <v>0</v>
      </c>
      <c r="M1183" t="s">
        <v>73</v>
      </c>
      <c r="N1183">
        <v>0</v>
      </c>
      <c r="O1183" t="s">
        <v>58</v>
      </c>
      <c r="P1183" t="s">
        <v>59</v>
      </c>
      <c r="Q1183" t="s">
        <v>274</v>
      </c>
      <c r="R1183" t="s">
        <v>2250</v>
      </c>
      <c r="S1183" s="1">
        <v>44427</v>
      </c>
      <c r="T1183" s="1">
        <v>44432</v>
      </c>
      <c r="U1183">
        <v>37501</v>
      </c>
      <c r="V1183" t="s">
        <v>61</v>
      </c>
      <c r="W1183" t="s">
        <v>2251</v>
      </c>
      <c r="X1183" s="1">
        <v>44440</v>
      </c>
      <c r="Y1183" t="s">
        <v>207</v>
      </c>
      <c r="Z1183">
        <v>532.76</v>
      </c>
      <c r="AA1183">
        <v>16</v>
      </c>
      <c r="AB1183">
        <v>85.24</v>
      </c>
      <c r="AC1183">
        <v>0</v>
      </c>
      <c r="AD1183">
        <v>618</v>
      </c>
      <c r="AE1183">
        <v>5567.74</v>
      </c>
      <c r="AF1183">
        <v>6000</v>
      </c>
      <c r="AG1183" t="s">
        <v>2237</v>
      </c>
      <c r="AH1183" t="s">
        <v>65</v>
      </c>
      <c r="AI1183" t="s">
        <v>65</v>
      </c>
      <c r="AJ1183" t="s">
        <v>66</v>
      </c>
      <c r="AK1183" t="s">
        <v>66</v>
      </c>
      <c r="AL1183" t="s">
        <v>66</v>
      </c>
      <c r="AM1183" s="2" t="str">
        <f>HYPERLINK("https://transparencia.cidesi.mx/comprobantes/2021/CQ2100721 /C1069898893.pdf")</f>
        <v>https://transparencia.cidesi.mx/comprobantes/2021/CQ2100721 /C1069898893.pdf</v>
      </c>
      <c r="AN1183" t="str">
        <f>HYPERLINK("https://transparencia.cidesi.mx/comprobantes/2021/CQ2100721 /C1069898893.pdf")</f>
        <v>https://transparencia.cidesi.mx/comprobantes/2021/CQ2100721 /C1069898893.pdf</v>
      </c>
      <c r="AO1183" t="str">
        <f>HYPERLINK("https://transparencia.cidesi.mx/comprobantes/2021/CQ2100721 /C1069898893.xml")</f>
        <v>https://transparencia.cidesi.mx/comprobantes/2021/CQ2100721 /C1069898893.xml</v>
      </c>
      <c r="AP1183" t="s">
        <v>2250</v>
      </c>
      <c r="AQ1183" t="s">
        <v>2250</v>
      </c>
      <c r="AR1183" t="s">
        <v>2250</v>
      </c>
      <c r="AS1183" t="s">
        <v>2250</v>
      </c>
      <c r="AT1183" s="1">
        <v>44440</v>
      </c>
      <c r="AU1183" t="s">
        <v>73</v>
      </c>
    </row>
    <row r="1184" spans="1:47" x14ac:dyDescent="0.3">
      <c r="A1184" t="s">
        <v>47</v>
      </c>
      <c r="B1184" t="s">
        <v>48</v>
      </c>
      <c r="C1184" t="s">
        <v>392</v>
      </c>
      <c r="D1184">
        <v>100155</v>
      </c>
      <c r="E1184" t="s">
        <v>2233</v>
      </c>
      <c r="F1184" t="s">
        <v>769</v>
      </c>
      <c r="G1184" t="s">
        <v>404</v>
      </c>
      <c r="H1184" t="s">
        <v>2249</v>
      </c>
      <c r="I1184" t="s">
        <v>54</v>
      </c>
      <c r="J1184" t="s">
        <v>2250</v>
      </c>
      <c r="K1184" t="s">
        <v>56</v>
      </c>
      <c r="L1184">
        <v>0</v>
      </c>
      <c r="M1184" t="s">
        <v>73</v>
      </c>
      <c r="N1184">
        <v>0</v>
      </c>
      <c r="O1184" t="s">
        <v>58</v>
      </c>
      <c r="P1184" t="s">
        <v>59</v>
      </c>
      <c r="Q1184" t="s">
        <v>274</v>
      </c>
      <c r="R1184" t="s">
        <v>2250</v>
      </c>
      <c r="S1184" s="1">
        <v>44427</v>
      </c>
      <c r="T1184" s="1">
        <v>44432</v>
      </c>
      <c r="U1184">
        <v>37501</v>
      </c>
      <c r="V1184" t="s">
        <v>61</v>
      </c>
      <c r="W1184" t="s">
        <v>2251</v>
      </c>
      <c r="X1184" s="1">
        <v>44440</v>
      </c>
      <c r="Y1184" t="s">
        <v>207</v>
      </c>
      <c r="Z1184">
        <v>206.03</v>
      </c>
      <c r="AA1184">
        <v>16</v>
      </c>
      <c r="AB1184">
        <v>32.97</v>
      </c>
      <c r="AC1184">
        <v>0</v>
      </c>
      <c r="AD1184">
        <v>239</v>
      </c>
      <c r="AE1184">
        <v>5567.74</v>
      </c>
      <c r="AF1184">
        <v>6000</v>
      </c>
      <c r="AG1184" t="s">
        <v>2237</v>
      </c>
      <c r="AH1184" t="s">
        <v>65</v>
      </c>
      <c r="AI1184" t="s">
        <v>65</v>
      </c>
      <c r="AJ1184" t="s">
        <v>66</v>
      </c>
      <c r="AK1184" t="s">
        <v>66</v>
      </c>
      <c r="AL1184" t="s">
        <v>66</v>
      </c>
      <c r="AM1184" s="2" t="str">
        <f>HYPERLINK("https://transparencia.cidesi.mx/comprobantes/2021/CQ2100721 /C11FBKBV0000125159.pdf")</f>
        <v>https://transparencia.cidesi.mx/comprobantes/2021/CQ2100721 /C11FBKBV0000125159.pdf</v>
      </c>
      <c r="AN1184" t="str">
        <f>HYPERLINK("https://transparencia.cidesi.mx/comprobantes/2021/CQ2100721 /C11FBKBV0000125159.pdf")</f>
        <v>https://transparencia.cidesi.mx/comprobantes/2021/CQ2100721 /C11FBKBV0000125159.pdf</v>
      </c>
      <c r="AO1184" t="str">
        <f>HYPERLINK("https://transparencia.cidesi.mx/comprobantes/2021/CQ2100721 /C11FBKBV0000125159.xml")</f>
        <v>https://transparencia.cidesi.mx/comprobantes/2021/CQ2100721 /C11FBKBV0000125159.xml</v>
      </c>
      <c r="AP1184" t="s">
        <v>2250</v>
      </c>
      <c r="AQ1184" t="s">
        <v>2250</v>
      </c>
      <c r="AR1184" t="s">
        <v>2250</v>
      </c>
      <c r="AS1184" t="s">
        <v>2250</v>
      </c>
      <c r="AT1184" s="1">
        <v>44440</v>
      </c>
      <c r="AU1184" t="s">
        <v>73</v>
      </c>
    </row>
    <row r="1185" spans="1:47" x14ac:dyDescent="0.3">
      <c r="A1185" t="s">
        <v>47</v>
      </c>
      <c r="B1185" t="s">
        <v>48</v>
      </c>
      <c r="C1185" t="s">
        <v>392</v>
      </c>
      <c r="D1185">
        <v>100155</v>
      </c>
      <c r="E1185" t="s">
        <v>2233</v>
      </c>
      <c r="F1185" t="s">
        <v>769</v>
      </c>
      <c r="G1185" t="s">
        <v>404</v>
      </c>
      <c r="H1185" t="s">
        <v>2249</v>
      </c>
      <c r="I1185" t="s">
        <v>54</v>
      </c>
      <c r="J1185" t="s">
        <v>2250</v>
      </c>
      <c r="K1185" t="s">
        <v>56</v>
      </c>
      <c r="L1185">
        <v>0</v>
      </c>
      <c r="M1185" t="s">
        <v>73</v>
      </c>
      <c r="N1185">
        <v>0</v>
      </c>
      <c r="O1185" t="s">
        <v>58</v>
      </c>
      <c r="P1185" t="s">
        <v>59</v>
      </c>
      <c r="Q1185" t="s">
        <v>274</v>
      </c>
      <c r="R1185" t="s">
        <v>2250</v>
      </c>
      <c r="S1185" s="1">
        <v>44427</v>
      </c>
      <c r="T1185" s="1">
        <v>44432</v>
      </c>
      <c r="U1185">
        <v>37501</v>
      </c>
      <c r="V1185" t="s">
        <v>61</v>
      </c>
      <c r="W1185" t="s">
        <v>2251</v>
      </c>
      <c r="X1185" s="1">
        <v>44440</v>
      </c>
      <c r="Y1185" t="s">
        <v>207</v>
      </c>
      <c r="Z1185">
        <v>400.86</v>
      </c>
      <c r="AA1185">
        <v>16</v>
      </c>
      <c r="AB1185">
        <v>64.14</v>
      </c>
      <c r="AC1185">
        <v>0</v>
      </c>
      <c r="AD1185">
        <v>465</v>
      </c>
      <c r="AE1185">
        <v>5567.74</v>
      </c>
      <c r="AF1185">
        <v>6000</v>
      </c>
      <c r="AG1185" t="s">
        <v>2237</v>
      </c>
      <c r="AH1185" t="s">
        <v>65</v>
      </c>
      <c r="AI1185" t="s">
        <v>65</v>
      </c>
      <c r="AJ1185" t="s">
        <v>66</v>
      </c>
      <c r="AK1185" t="s">
        <v>66</v>
      </c>
      <c r="AL1185" t="s">
        <v>66</v>
      </c>
      <c r="AM1185" s="2" t="str">
        <f>HYPERLINK("https://transparencia.cidesi.mx/comprobantes/2021/CQ2100721 /C129ba9d70c-c393-4891-a4c6-2a76e67fec26.pdf")</f>
        <v>https://transparencia.cidesi.mx/comprobantes/2021/CQ2100721 /C129ba9d70c-c393-4891-a4c6-2a76e67fec26.pdf</v>
      </c>
      <c r="AN1185" t="str">
        <f>HYPERLINK("https://transparencia.cidesi.mx/comprobantes/2021/CQ2100721 /C129ba9d70c-c393-4891-a4c6-2a76e67fec26.pdf")</f>
        <v>https://transparencia.cidesi.mx/comprobantes/2021/CQ2100721 /C129ba9d70c-c393-4891-a4c6-2a76e67fec26.pdf</v>
      </c>
      <c r="AO1185" t="str">
        <f>HYPERLINK("https://transparencia.cidesi.mx/comprobantes/2021/CQ2100721 /C129ba9d70c-c393-4891-a4c6-2a76e67fec26.xml")</f>
        <v>https://transparencia.cidesi.mx/comprobantes/2021/CQ2100721 /C129ba9d70c-c393-4891-a4c6-2a76e67fec26.xml</v>
      </c>
      <c r="AP1185" t="s">
        <v>2250</v>
      </c>
      <c r="AQ1185" t="s">
        <v>2250</v>
      </c>
      <c r="AR1185" t="s">
        <v>2250</v>
      </c>
      <c r="AS1185" t="s">
        <v>2250</v>
      </c>
      <c r="AT1185" s="1">
        <v>44440</v>
      </c>
      <c r="AU1185" t="s">
        <v>73</v>
      </c>
    </row>
    <row r="1186" spans="1:47" x14ac:dyDescent="0.3">
      <c r="A1186" t="s">
        <v>47</v>
      </c>
      <c r="B1186" t="s">
        <v>48</v>
      </c>
      <c r="C1186" t="s">
        <v>392</v>
      </c>
      <c r="D1186">
        <v>100155</v>
      </c>
      <c r="E1186" t="s">
        <v>2233</v>
      </c>
      <c r="F1186" t="s">
        <v>769</v>
      </c>
      <c r="G1186" t="s">
        <v>404</v>
      </c>
      <c r="H1186" t="s">
        <v>2249</v>
      </c>
      <c r="I1186" t="s">
        <v>54</v>
      </c>
      <c r="J1186" t="s">
        <v>2250</v>
      </c>
      <c r="K1186" t="s">
        <v>56</v>
      </c>
      <c r="L1186">
        <v>0</v>
      </c>
      <c r="M1186" t="s">
        <v>73</v>
      </c>
      <c r="N1186">
        <v>0</v>
      </c>
      <c r="O1186" t="s">
        <v>58</v>
      </c>
      <c r="P1186" t="s">
        <v>59</v>
      </c>
      <c r="Q1186" t="s">
        <v>274</v>
      </c>
      <c r="R1186" t="s">
        <v>2250</v>
      </c>
      <c r="S1186" s="1">
        <v>44427</v>
      </c>
      <c r="T1186" s="1">
        <v>44432</v>
      </c>
      <c r="U1186">
        <v>37501</v>
      </c>
      <c r="V1186" t="s">
        <v>61</v>
      </c>
      <c r="W1186" t="s">
        <v>2251</v>
      </c>
      <c r="X1186" s="1">
        <v>44440</v>
      </c>
      <c r="Y1186" t="s">
        <v>207</v>
      </c>
      <c r="Z1186">
        <v>498.28</v>
      </c>
      <c r="AA1186">
        <v>16</v>
      </c>
      <c r="AB1186">
        <v>79.72</v>
      </c>
      <c r="AC1186">
        <v>0</v>
      </c>
      <c r="AD1186">
        <v>578</v>
      </c>
      <c r="AE1186">
        <v>5567.74</v>
      </c>
      <c r="AF1186">
        <v>6000</v>
      </c>
      <c r="AG1186" t="s">
        <v>2237</v>
      </c>
      <c r="AH1186" t="s">
        <v>65</v>
      </c>
      <c r="AI1186" t="s">
        <v>65</v>
      </c>
      <c r="AJ1186" t="s">
        <v>66</v>
      </c>
      <c r="AK1186" t="s">
        <v>66</v>
      </c>
      <c r="AL1186" t="s">
        <v>66</v>
      </c>
      <c r="AM1186" s="2" t="str">
        <f>HYPERLINK("https://transparencia.cidesi.mx/comprobantes/2021/CQ2100721 /C13COME760106817FF2015.pdf")</f>
        <v>https://transparencia.cidesi.mx/comprobantes/2021/CQ2100721 /C13COME760106817FF2015.pdf</v>
      </c>
      <c r="AN1186" t="str">
        <f>HYPERLINK("https://transparencia.cidesi.mx/comprobantes/2021/CQ2100721 /C13COME760106817FF2015.pdf")</f>
        <v>https://transparencia.cidesi.mx/comprobantes/2021/CQ2100721 /C13COME760106817FF2015.pdf</v>
      </c>
      <c r="AO1186" t="str">
        <f>HYPERLINK("https://transparencia.cidesi.mx/comprobantes/2021/CQ2100721 /C13COME760106817FF2015.xml")</f>
        <v>https://transparencia.cidesi.mx/comprobantes/2021/CQ2100721 /C13COME760106817FF2015.xml</v>
      </c>
      <c r="AP1186" t="s">
        <v>2250</v>
      </c>
      <c r="AQ1186" t="s">
        <v>2250</v>
      </c>
      <c r="AR1186" t="s">
        <v>2250</v>
      </c>
      <c r="AS1186" t="s">
        <v>2250</v>
      </c>
      <c r="AT1186" s="1">
        <v>44440</v>
      </c>
      <c r="AU1186" t="s">
        <v>73</v>
      </c>
    </row>
    <row r="1187" spans="1:47" x14ac:dyDescent="0.3">
      <c r="A1187" t="s">
        <v>47</v>
      </c>
      <c r="B1187" t="s">
        <v>48</v>
      </c>
      <c r="C1187" t="s">
        <v>392</v>
      </c>
      <c r="D1187">
        <v>100155</v>
      </c>
      <c r="E1187" t="s">
        <v>2233</v>
      </c>
      <c r="F1187" t="s">
        <v>769</v>
      </c>
      <c r="G1187" t="s">
        <v>404</v>
      </c>
      <c r="H1187" t="s">
        <v>2252</v>
      </c>
      <c r="I1187" t="s">
        <v>54</v>
      </c>
      <c r="J1187" t="s">
        <v>2253</v>
      </c>
      <c r="K1187" t="s">
        <v>56</v>
      </c>
      <c r="L1187">
        <v>0</v>
      </c>
      <c r="M1187" t="s">
        <v>73</v>
      </c>
      <c r="N1187">
        <v>0</v>
      </c>
      <c r="O1187" t="s">
        <v>58</v>
      </c>
      <c r="P1187" t="s">
        <v>59</v>
      </c>
      <c r="Q1187" t="s">
        <v>2254</v>
      </c>
      <c r="R1187" t="s">
        <v>2253</v>
      </c>
      <c r="S1187" s="1">
        <v>44432</v>
      </c>
      <c r="T1187" s="1">
        <v>44437</v>
      </c>
      <c r="U1187">
        <v>37501</v>
      </c>
      <c r="V1187" t="s">
        <v>104</v>
      </c>
      <c r="W1187" t="s">
        <v>2255</v>
      </c>
      <c r="X1187" s="1">
        <v>44440</v>
      </c>
      <c r="Y1187" t="s">
        <v>207</v>
      </c>
      <c r="Z1187">
        <v>1400.8</v>
      </c>
      <c r="AA1187">
        <v>16</v>
      </c>
      <c r="AB1187">
        <v>217.6</v>
      </c>
      <c r="AC1187">
        <v>0</v>
      </c>
      <c r="AD1187">
        <v>1618.4</v>
      </c>
      <c r="AE1187">
        <v>5956.3</v>
      </c>
      <c r="AF1187">
        <v>6000</v>
      </c>
      <c r="AG1187" t="s">
        <v>2238</v>
      </c>
      <c r="AH1187" t="s">
        <v>65</v>
      </c>
      <c r="AI1187" t="s">
        <v>65</v>
      </c>
      <c r="AJ1187" t="s">
        <v>66</v>
      </c>
      <c r="AK1187" t="s">
        <v>66</v>
      </c>
      <c r="AL1187" t="s">
        <v>66</v>
      </c>
      <c r="AM1187" s="2" t="str">
        <f>HYPERLINK("https://transparencia.cidesi.mx/comprobantes/2021/CQ2100723 /C1A76911.pdf")</f>
        <v>https://transparencia.cidesi.mx/comprobantes/2021/CQ2100723 /C1A76911.pdf</v>
      </c>
      <c r="AN1187" t="str">
        <f>HYPERLINK("https://transparencia.cidesi.mx/comprobantes/2021/CQ2100723 /C1A76911.pdf")</f>
        <v>https://transparencia.cidesi.mx/comprobantes/2021/CQ2100723 /C1A76911.pdf</v>
      </c>
      <c r="AO1187" t="str">
        <f>HYPERLINK("https://transparencia.cidesi.mx/comprobantes/2021/CQ2100723 /C1A76911.xml")</f>
        <v>https://transparencia.cidesi.mx/comprobantes/2021/CQ2100723 /C1A76911.xml</v>
      </c>
      <c r="AP1187" t="s">
        <v>2253</v>
      </c>
      <c r="AQ1187" t="s">
        <v>2253</v>
      </c>
      <c r="AR1187" t="s">
        <v>2253</v>
      </c>
      <c r="AS1187" t="s">
        <v>2253</v>
      </c>
      <c r="AT1187" s="1">
        <v>44445</v>
      </c>
      <c r="AU1187" t="s">
        <v>73</v>
      </c>
    </row>
    <row r="1188" spans="1:47" x14ac:dyDescent="0.3">
      <c r="A1188" t="s">
        <v>47</v>
      </c>
      <c r="B1188" t="s">
        <v>48</v>
      </c>
      <c r="C1188" t="s">
        <v>392</v>
      </c>
      <c r="D1188">
        <v>100155</v>
      </c>
      <c r="E1188" t="s">
        <v>2233</v>
      </c>
      <c r="F1188" t="s">
        <v>769</v>
      </c>
      <c r="G1188" t="s">
        <v>404</v>
      </c>
      <c r="H1188" t="s">
        <v>2252</v>
      </c>
      <c r="I1188" t="s">
        <v>54</v>
      </c>
      <c r="J1188" t="s">
        <v>2253</v>
      </c>
      <c r="K1188" t="s">
        <v>56</v>
      </c>
      <c r="L1188">
        <v>0</v>
      </c>
      <c r="M1188" t="s">
        <v>73</v>
      </c>
      <c r="N1188">
        <v>0</v>
      </c>
      <c r="O1188" t="s">
        <v>58</v>
      </c>
      <c r="P1188" t="s">
        <v>59</v>
      </c>
      <c r="Q1188" t="s">
        <v>2254</v>
      </c>
      <c r="R1188" t="s">
        <v>2253</v>
      </c>
      <c r="S1188" s="1">
        <v>44432</v>
      </c>
      <c r="T1188" s="1">
        <v>44437</v>
      </c>
      <c r="U1188">
        <v>37501</v>
      </c>
      <c r="V1188" t="s">
        <v>104</v>
      </c>
      <c r="W1188" t="s">
        <v>2255</v>
      </c>
      <c r="X1188" s="1">
        <v>44440</v>
      </c>
      <c r="Y1188" t="s">
        <v>207</v>
      </c>
      <c r="Z1188">
        <v>588.57000000000005</v>
      </c>
      <c r="AA1188">
        <v>16</v>
      </c>
      <c r="AB1188">
        <v>91.43</v>
      </c>
      <c r="AC1188">
        <v>0</v>
      </c>
      <c r="AD1188">
        <v>680</v>
      </c>
      <c r="AE1188">
        <v>5956.3</v>
      </c>
      <c r="AF1188">
        <v>6000</v>
      </c>
      <c r="AG1188" t="s">
        <v>2238</v>
      </c>
      <c r="AH1188" t="s">
        <v>65</v>
      </c>
      <c r="AI1188" t="s">
        <v>65</v>
      </c>
      <c r="AJ1188" t="s">
        <v>66</v>
      </c>
      <c r="AK1188" t="s">
        <v>66</v>
      </c>
      <c r="AL1188" t="s">
        <v>66</v>
      </c>
      <c r="AM1188" s="2" t="str">
        <f>HYPERLINK("https://transparencia.cidesi.mx/comprobantes/2021/CQ2100723 /C2FA0000018140.pdf")</f>
        <v>https://transparencia.cidesi.mx/comprobantes/2021/CQ2100723 /C2FA0000018140.pdf</v>
      </c>
      <c r="AN1188" t="str">
        <f>HYPERLINK("https://transparencia.cidesi.mx/comprobantes/2021/CQ2100723 /C2FA0000018140.pdf")</f>
        <v>https://transparencia.cidesi.mx/comprobantes/2021/CQ2100723 /C2FA0000018140.pdf</v>
      </c>
      <c r="AO1188" t="str">
        <f>HYPERLINK("https://transparencia.cidesi.mx/comprobantes/2021/CQ2100723 /C2FA0000018140.xml")</f>
        <v>https://transparencia.cidesi.mx/comprobantes/2021/CQ2100723 /C2FA0000018140.xml</v>
      </c>
      <c r="AP1188" t="s">
        <v>2253</v>
      </c>
      <c r="AQ1188" t="s">
        <v>2253</v>
      </c>
      <c r="AR1188" t="s">
        <v>2253</v>
      </c>
      <c r="AS1188" t="s">
        <v>2253</v>
      </c>
      <c r="AT1188" s="1">
        <v>44445</v>
      </c>
      <c r="AU1188" t="s">
        <v>73</v>
      </c>
    </row>
    <row r="1189" spans="1:47" x14ac:dyDescent="0.3">
      <c r="A1189" t="s">
        <v>47</v>
      </c>
      <c r="B1189" t="s">
        <v>48</v>
      </c>
      <c r="C1189" t="s">
        <v>392</v>
      </c>
      <c r="D1189">
        <v>100155</v>
      </c>
      <c r="E1189" t="s">
        <v>2233</v>
      </c>
      <c r="F1189" t="s">
        <v>769</v>
      </c>
      <c r="G1189" t="s">
        <v>404</v>
      </c>
      <c r="H1189" t="s">
        <v>2252</v>
      </c>
      <c r="I1189" t="s">
        <v>54</v>
      </c>
      <c r="J1189" t="s">
        <v>2253</v>
      </c>
      <c r="K1189" t="s">
        <v>56</v>
      </c>
      <c r="L1189">
        <v>0</v>
      </c>
      <c r="M1189" t="s">
        <v>73</v>
      </c>
      <c r="N1189">
        <v>0</v>
      </c>
      <c r="O1189" t="s">
        <v>58</v>
      </c>
      <c r="P1189" t="s">
        <v>59</v>
      </c>
      <c r="Q1189" t="s">
        <v>2254</v>
      </c>
      <c r="R1189" t="s">
        <v>2253</v>
      </c>
      <c r="S1189" s="1">
        <v>44432</v>
      </c>
      <c r="T1189" s="1">
        <v>44437</v>
      </c>
      <c r="U1189">
        <v>37501</v>
      </c>
      <c r="V1189" t="s">
        <v>104</v>
      </c>
      <c r="W1189" t="s">
        <v>2255</v>
      </c>
      <c r="X1189" s="1">
        <v>44440</v>
      </c>
      <c r="Y1189" t="s">
        <v>207</v>
      </c>
      <c r="Z1189">
        <v>419.79</v>
      </c>
      <c r="AA1189">
        <v>16</v>
      </c>
      <c r="AB1189">
        <v>65.209999999999994</v>
      </c>
      <c r="AC1189">
        <v>0</v>
      </c>
      <c r="AD1189">
        <v>485</v>
      </c>
      <c r="AE1189">
        <v>5956.3</v>
      </c>
      <c r="AF1189">
        <v>6000</v>
      </c>
      <c r="AG1189" t="s">
        <v>2238</v>
      </c>
      <c r="AH1189" t="s">
        <v>65</v>
      </c>
      <c r="AI1189" t="s">
        <v>65</v>
      </c>
      <c r="AJ1189" t="s">
        <v>66</v>
      </c>
      <c r="AK1189" t="s">
        <v>66</v>
      </c>
      <c r="AL1189" t="s">
        <v>66</v>
      </c>
      <c r="AM1189" s="2" t="str">
        <f>HYPERLINK("https://transparencia.cidesi.mx/comprobantes/2021/CQ2100723 /C3FA0000018166.pdf")</f>
        <v>https://transparencia.cidesi.mx/comprobantes/2021/CQ2100723 /C3FA0000018166.pdf</v>
      </c>
      <c r="AN1189" t="str">
        <f>HYPERLINK("https://transparencia.cidesi.mx/comprobantes/2021/CQ2100723 /C3FA0000018166.pdf")</f>
        <v>https://transparencia.cidesi.mx/comprobantes/2021/CQ2100723 /C3FA0000018166.pdf</v>
      </c>
      <c r="AO1189" t="str">
        <f>HYPERLINK("https://transparencia.cidesi.mx/comprobantes/2021/CQ2100723 /C3FA0000018166.xml")</f>
        <v>https://transparencia.cidesi.mx/comprobantes/2021/CQ2100723 /C3FA0000018166.xml</v>
      </c>
      <c r="AP1189" t="s">
        <v>2253</v>
      </c>
      <c r="AQ1189" t="s">
        <v>2253</v>
      </c>
      <c r="AR1189" t="s">
        <v>2253</v>
      </c>
      <c r="AS1189" t="s">
        <v>2253</v>
      </c>
      <c r="AT1189" s="1">
        <v>44445</v>
      </c>
      <c r="AU1189" t="s">
        <v>73</v>
      </c>
    </row>
    <row r="1190" spans="1:47" x14ac:dyDescent="0.3">
      <c r="A1190" t="s">
        <v>47</v>
      </c>
      <c r="B1190" t="s">
        <v>48</v>
      </c>
      <c r="C1190" t="s">
        <v>392</v>
      </c>
      <c r="D1190">
        <v>100155</v>
      </c>
      <c r="E1190" t="s">
        <v>2233</v>
      </c>
      <c r="F1190" t="s">
        <v>769</v>
      </c>
      <c r="G1190" t="s">
        <v>404</v>
      </c>
      <c r="H1190" t="s">
        <v>2252</v>
      </c>
      <c r="I1190" t="s">
        <v>54</v>
      </c>
      <c r="J1190" t="s">
        <v>2253</v>
      </c>
      <c r="K1190" t="s">
        <v>56</v>
      </c>
      <c r="L1190">
        <v>0</v>
      </c>
      <c r="M1190" t="s">
        <v>73</v>
      </c>
      <c r="N1190">
        <v>0</v>
      </c>
      <c r="O1190" t="s">
        <v>58</v>
      </c>
      <c r="P1190" t="s">
        <v>59</v>
      </c>
      <c r="Q1190" t="s">
        <v>2254</v>
      </c>
      <c r="R1190" t="s">
        <v>2253</v>
      </c>
      <c r="S1190" s="1">
        <v>44432</v>
      </c>
      <c r="T1190" s="1">
        <v>44437</v>
      </c>
      <c r="U1190">
        <v>37501</v>
      </c>
      <c r="V1190" t="s">
        <v>61</v>
      </c>
      <c r="W1190" t="s">
        <v>2255</v>
      </c>
      <c r="X1190" s="1">
        <v>44440</v>
      </c>
      <c r="Y1190" t="s">
        <v>207</v>
      </c>
      <c r="Z1190">
        <v>262.93</v>
      </c>
      <c r="AA1190">
        <v>16</v>
      </c>
      <c r="AB1190">
        <v>42.07</v>
      </c>
      <c r="AC1190">
        <v>0</v>
      </c>
      <c r="AD1190">
        <v>305</v>
      </c>
      <c r="AE1190">
        <v>5956.3</v>
      </c>
      <c r="AF1190">
        <v>6000</v>
      </c>
      <c r="AG1190" t="s">
        <v>2237</v>
      </c>
      <c r="AH1190" t="s">
        <v>65</v>
      </c>
      <c r="AI1190" t="s">
        <v>65</v>
      </c>
      <c r="AJ1190" t="s">
        <v>66</v>
      </c>
      <c r="AK1190" t="s">
        <v>66</v>
      </c>
      <c r="AL1190" t="s">
        <v>66</v>
      </c>
      <c r="AM1190" s="2" t="str">
        <f>HYPERLINK("https://transparencia.cidesi.mx/comprobantes/2021/CQ2100723 /C4FA0000018142.pdf")</f>
        <v>https://transparencia.cidesi.mx/comprobantes/2021/CQ2100723 /C4FA0000018142.pdf</v>
      </c>
      <c r="AN1190" t="str">
        <f>HYPERLINK("https://transparencia.cidesi.mx/comprobantes/2021/CQ2100723 /C4FA0000018142.pdf")</f>
        <v>https://transparencia.cidesi.mx/comprobantes/2021/CQ2100723 /C4FA0000018142.pdf</v>
      </c>
      <c r="AO1190" t="str">
        <f>HYPERLINK("https://transparencia.cidesi.mx/comprobantes/2021/CQ2100723 /C4FA0000018142.xml")</f>
        <v>https://transparencia.cidesi.mx/comprobantes/2021/CQ2100723 /C4FA0000018142.xml</v>
      </c>
      <c r="AP1190" t="s">
        <v>2253</v>
      </c>
      <c r="AQ1190" t="s">
        <v>2253</v>
      </c>
      <c r="AR1190" t="s">
        <v>2253</v>
      </c>
      <c r="AS1190" t="s">
        <v>2253</v>
      </c>
      <c r="AT1190" s="1">
        <v>44445</v>
      </c>
      <c r="AU1190" t="s">
        <v>73</v>
      </c>
    </row>
    <row r="1191" spans="1:47" x14ac:dyDescent="0.3">
      <c r="A1191" t="s">
        <v>47</v>
      </c>
      <c r="B1191" t="s">
        <v>48</v>
      </c>
      <c r="C1191" t="s">
        <v>392</v>
      </c>
      <c r="D1191">
        <v>100155</v>
      </c>
      <c r="E1191" t="s">
        <v>2233</v>
      </c>
      <c r="F1191" t="s">
        <v>769</v>
      </c>
      <c r="G1191" t="s">
        <v>404</v>
      </c>
      <c r="H1191" t="s">
        <v>2252</v>
      </c>
      <c r="I1191" t="s">
        <v>54</v>
      </c>
      <c r="J1191" t="s">
        <v>2253</v>
      </c>
      <c r="K1191" t="s">
        <v>56</v>
      </c>
      <c r="L1191">
        <v>0</v>
      </c>
      <c r="M1191" t="s">
        <v>73</v>
      </c>
      <c r="N1191">
        <v>0</v>
      </c>
      <c r="O1191" t="s">
        <v>58</v>
      </c>
      <c r="P1191" t="s">
        <v>59</v>
      </c>
      <c r="Q1191" t="s">
        <v>2254</v>
      </c>
      <c r="R1191" t="s">
        <v>2253</v>
      </c>
      <c r="S1191" s="1">
        <v>44432</v>
      </c>
      <c r="T1191" s="1">
        <v>44437</v>
      </c>
      <c r="U1191">
        <v>37501</v>
      </c>
      <c r="V1191" t="s">
        <v>61</v>
      </c>
      <c r="W1191" t="s">
        <v>2255</v>
      </c>
      <c r="X1191" s="1">
        <v>44440</v>
      </c>
      <c r="Y1191" t="s">
        <v>207</v>
      </c>
      <c r="Z1191">
        <v>93.97</v>
      </c>
      <c r="AA1191">
        <v>16</v>
      </c>
      <c r="AB1191">
        <v>15.03</v>
      </c>
      <c r="AC1191">
        <v>0</v>
      </c>
      <c r="AD1191">
        <v>109</v>
      </c>
      <c r="AE1191">
        <v>5956.3</v>
      </c>
      <c r="AF1191">
        <v>6000</v>
      </c>
      <c r="AG1191" t="s">
        <v>2237</v>
      </c>
      <c r="AH1191" t="s">
        <v>65</v>
      </c>
      <c r="AI1191" t="s">
        <v>65</v>
      </c>
      <c r="AJ1191" t="s">
        <v>66</v>
      </c>
      <c r="AK1191" t="s">
        <v>66</v>
      </c>
      <c r="AL1191" t="s">
        <v>66</v>
      </c>
      <c r="AM1191" s="2" t="str">
        <f>HYPERLINK("https://transparencia.cidesi.mx/comprobantes/2021/CQ2100723 /C54C1C59E3-5FBB-4972-A47D-458C98E32BCA.pdf")</f>
        <v>https://transparencia.cidesi.mx/comprobantes/2021/CQ2100723 /C54C1C59E3-5FBB-4972-A47D-458C98E32BCA.pdf</v>
      </c>
      <c r="AN1191" t="str">
        <f>HYPERLINK("https://transparencia.cidesi.mx/comprobantes/2021/CQ2100723 /C54C1C59E3-5FBB-4972-A47D-458C98E32BCA.pdf")</f>
        <v>https://transparencia.cidesi.mx/comprobantes/2021/CQ2100723 /C54C1C59E3-5FBB-4972-A47D-458C98E32BCA.pdf</v>
      </c>
      <c r="AO1191" t="str">
        <f>HYPERLINK("https://transparencia.cidesi.mx/comprobantes/2021/CQ2100723 /C54C1C59E3-5FBB-4972-A47D-458C98E32BCA.xml")</f>
        <v>https://transparencia.cidesi.mx/comprobantes/2021/CQ2100723 /C54C1C59E3-5FBB-4972-A47D-458C98E32BCA.xml</v>
      </c>
      <c r="AP1191" t="s">
        <v>2253</v>
      </c>
      <c r="AQ1191" t="s">
        <v>2253</v>
      </c>
      <c r="AR1191" t="s">
        <v>2253</v>
      </c>
      <c r="AS1191" t="s">
        <v>2253</v>
      </c>
      <c r="AT1191" s="1">
        <v>44445</v>
      </c>
      <c r="AU1191" t="s">
        <v>73</v>
      </c>
    </row>
    <row r="1192" spans="1:47" x14ac:dyDescent="0.3">
      <c r="A1192" t="s">
        <v>47</v>
      </c>
      <c r="B1192" t="s">
        <v>48</v>
      </c>
      <c r="C1192" t="s">
        <v>392</v>
      </c>
      <c r="D1192">
        <v>100155</v>
      </c>
      <c r="E1192" t="s">
        <v>2233</v>
      </c>
      <c r="F1192" t="s">
        <v>769</v>
      </c>
      <c r="G1192" t="s">
        <v>404</v>
      </c>
      <c r="H1192" t="s">
        <v>2252</v>
      </c>
      <c r="I1192" t="s">
        <v>54</v>
      </c>
      <c r="J1192" t="s">
        <v>2253</v>
      </c>
      <c r="K1192" t="s">
        <v>56</v>
      </c>
      <c r="L1192">
        <v>0</v>
      </c>
      <c r="M1192" t="s">
        <v>73</v>
      </c>
      <c r="N1192">
        <v>0</v>
      </c>
      <c r="O1192" t="s">
        <v>58</v>
      </c>
      <c r="P1192" t="s">
        <v>59</v>
      </c>
      <c r="Q1192" t="s">
        <v>2254</v>
      </c>
      <c r="R1192" t="s">
        <v>2253</v>
      </c>
      <c r="S1192" s="1">
        <v>44432</v>
      </c>
      <c r="T1192" s="1">
        <v>44437</v>
      </c>
      <c r="U1192">
        <v>37501</v>
      </c>
      <c r="V1192" t="s">
        <v>61</v>
      </c>
      <c r="W1192" t="s">
        <v>2255</v>
      </c>
      <c r="X1192" s="1">
        <v>44440</v>
      </c>
      <c r="Y1192" t="s">
        <v>207</v>
      </c>
      <c r="Z1192">
        <v>87.05</v>
      </c>
      <c r="AA1192">
        <v>16</v>
      </c>
      <c r="AB1192">
        <v>5.45</v>
      </c>
      <c r="AC1192">
        <v>0</v>
      </c>
      <c r="AD1192">
        <v>92.5</v>
      </c>
      <c r="AE1192">
        <v>5956.3</v>
      </c>
      <c r="AF1192">
        <v>6000</v>
      </c>
      <c r="AG1192" t="s">
        <v>2237</v>
      </c>
      <c r="AH1192" t="s">
        <v>65</v>
      </c>
      <c r="AI1192" t="s">
        <v>65</v>
      </c>
      <c r="AJ1192" t="s">
        <v>66</v>
      </c>
      <c r="AK1192" t="s">
        <v>66</v>
      </c>
      <c r="AL1192" t="s">
        <v>66</v>
      </c>
      <c r="AM1192" s="2" t="str">
        <f>HYPERLINK("https://transparencia.cidesi.mx/comprobantes/2021/CQ2100723 /C6FACTURA_1630521950738_343586049.pdf")</f>
        <v>https://transparencia.cidesi.mx/comprobantes/2021/CQ2100723 /C6FACTURA_1630521950738_343586049.pdf</v>
      </c>
      <c r="AN1192" t="str">
        <f>HYPERLINK("https://transparencia.cidesi.mx/comprobantes/2021/CQ2100723 /C6FACTURA_1630521950738_343586049.pdf")</f>
        <v>https://transparencia.cidesi.mx/comprobantes/2021/CQ2100723 /C6FACTURA_1630521950738_343586049.pdf</v>
      </c>
      <c r="AO1192" t="str">
        <f>HYPERLINK("https://transparencia.cidesi.mx/comprobantes/2021/CQ2100723 /C6FACTURA_1630521951918_343586049.xml")</f>
        <v>https://transparencia.cidesi.mx/comprobantes/2021/CQ2100723 /C6FACTURA_1630521951918_343586049.xml</v>
      </c>
      <c r="AP1192" t="s">
        <v>2253</v>
      </c>
      <c r="AQ1192" t="s">
        <v>2253</v>
      </c>
      <c r="AR1192" t="s">
        <v>2253</v>
      </c>
      <c r="AS1192" t="s">
        <v>2253</v>
      </c>
      <c r="AT1192" s="1">
        <v>44445</v>
      </c>
      <c r="AU1192" t="s">
        <v>73</v>
      </c>
    </row>
    <row r="1193" spans="1:47" x14ac:dyDescent="0.3">
      <c r="A1193" t="s">
        <v>47</v>
      </c>
      <c r="B1193" t="s">
        <v>48</v>
      </c>
      <c r="C1193" t="s">
        <v>392</v>
      </c>
      <c r="D1193">
        <v>100155</v>
      </c>
      <c r="E1193" t="s">
        <v>2233</v>
      </c>
      <c r="F1193" t="s">
        <v>769</v>
      </c>
      <c r="G1193" t="s">
        <v>404</v>
      </c>
      <c r="H1193" t="s">
        <v>2252</v>
      </c>
      <c r="I1193" t="s">
        <v>54</v>
      </c>
      <c r="J1193" t="s">
        <v>2253</v>
      </c>
      <c r="K1193" t="s">
        <v>56</v>
      </c>
      <c r="L1193">
        <v>0</v>
      </c>
      <c r="M1193" t="s">
        <v>73</v>
      </c>
      <c r="N1193">
        <v>0</v>
      </c>
      <c r="O1193" t="s">
        <v>58</v>
      </c>
      <c r="P1193" t="s">
        <v>59</v>
      </c>
      <c r="Q1193" t="s">
        <v>2254</v>
      </c>
      <c r="R1193" t="s">
        <v>2253</v>
      </c>
      <c r="S1193" s="1">
        <v>44432</v>
      </c>
      <c r="T1193" s="1">
        <v>44437</v>
      </c>
      <c r="U1193">
        <v>37501</v>
      </c>
      <c r="V1193" t="s">
        <v>61</v>
      </c>
      <c r="W1193" t="s">
        <v>2255</v>
      </c>
      <c r="X1193" s="1">
        <v>44440</v>
      </c>
      <c r="Y1193" t="s">
        <v>207</v>
      </c>
      <c r="Z1193">
        <v>93.12</v>
      </c>
      <c r="AA1193">
        <v>16</v>
      </c>
      <c r="AB1193">
        <v>1.38</v>
      </c>
      <c r="AC1193">
        <v>0</v>
      </c>
      <c r="AD1193">
        <v>94.5</v>
      </c>
      <c r="AE1193">
        <v>5956.3</v>
      </c>
      <c r="AF1193">
        <v>6000</v>
      </c>
      <c r="AG1193" t="s">
        <v>2237</v>
      </c>
      <c r="AH1193" t="s">
        <v>65</v>
      </c>
      <c r="AI1193" t="s">
        <v>65</v>
      </c>
      <c r="AJ1193" t="s">
        <v>66</v>
      </c>
      <c r="AK1193" t="s">
        <v>66</v>
      </c>
      <c r="AL1193" t="s">
        <v>66</v>
      </c>
      <c r="AM1193" s="2" t="str">
        <f>HYPERLINK("https://transparencia.cidesi.mx/comprobantes/2021/CQ2100723 /C7FACTURA_1630521734919_343585635.pdf")</f>
        <v>https://transparencia.cidesi.mx/comprobantes/2021/CQ2100723 /C7FACTURA_1630521734919_343585635.pdf</v>
      </c>
      <c r="AN1193" t="str">
        <f>HYPERLINK("https://transparencia.cidesi.mx/comprobantes/2021/CQ2100723 /C7FACTURA_1630521734919_343585635.pdf")</f>
        <v>https://transparencia.cidesi.mx/comprobantes/2021/CQ2100723 /C7FACTURA_1630521734919_343585635.pdf</v>
      </c>
      <c r="AO1193" t="str">
        <f>HYPERLINK("https://transparencia.cidesi.mx/comprobantes/2021/CQ2100723 /C7FACTURA_1630521735929_343585635.xml")</f>
        <v>https://transparencia.cidesi.mx/comprobantes/2021/CQ2100723 /C7FACTURA_1630521735929_343585635.xml</v>
      </c>
      <c r="AP1193" t="s">
        <v>2253</v>
      </c>
      <c r="AQ1193" t="s">
        <v>2253</v>
      </c>
      <c r="AR1193" t="s">
        <v>2253</v>
      </c>
      <c r="AS1193" t="s">
        <v>2253</v>
      </c>
      <c r="AT1193" s="1">
        <v>44445</v>
      </c>
      <c r="AU1193" t="s">
        <v>73</v>
      </c>
    </row>
    <row r="1194" spans="1:47" x14ac:dyDescent="0.3">
      <c r="A1194" t="s">
        <v>47</v>
      </c>
      <c r="B1194" t="s">
        <v>48</v>
      </c>
      <c r="C1194" t="s">
        <v>392</v>
      </c>
      <c r="D1194">
        <v>100155</v>
      </c>
      <c r="E1194" t="s">
        <v>2233</v>
      </c>
      <c r="F1194" t="s">
        <v>769</v>
      </c>
      <c r="G1194" t="s">
        <v>404</v>
      </c>
      <c r="H1194" t="s">
        <v>2252</v>
      </c>
      <c r="I1194" t="s">
        <v>54</v>
      </c>
      <c r="J1194" t="s">
        <v>2253</v>
      </c>
      <c r="K1194" t="s">
        <v>56</v>
      </c>
      <c r="L1194">
        <v>0</v>
      </c>
      <c r="M1194" t="s">
        <v>73</v>
      </c>
      <c r="N1194">
        <v>0</v>
      </c>
      <c r="O1194" t="s">
        <v>58</v>
      </c>
      <c r="P1194" t="s">
        <v>59</v>
      </c>
      <c r="Q1194" t="s">
        <v>2254</v>
      </c>
      <c r="R1194" t="s">
        <v>2253</v>
      </c>
      <c r="S1194" s="1">
        <v>44432</v>
      </c>
      <c r="T1194" s="1">
        <v>44437</v>
      </c>
      <c r="U1194">
        <v>37501</v>
      </c>
      <c r="V1194" t="s">
        <v>61</v>
      </c>
      <c r="W1194" t="s">
        <v>2255</v>
      </c>
      <c r="X1194" s="1">
        <v>44440</v>
      </c>
      <c r="Y1194" t="s">
        <v>207</v>
      </c>
      <c r="Z1194">
        <v>292.5</v>
      </c>
      <c r="AA1194">
        <v>0</v>
      </c>
      <c r="AB1194">
        <v>0</v>
      </c>
      <c r="AC1194">
        <v>0</v>
      </c>
      <c r="AD1194">
        <v>292.5</v>
      </c>
      <c r="AE1194">
        <v>5956.3</v>
      </c>
      <c r="AF1194">
        <v>6000</v>
      </c>
      <c r="AG1194" t="s">
        <v>2237</v>
      </c>
      <c r="AH1194" t="s">
        <v>65</v>
      </c>
      <c r="AI1194" t="s">
        <v>65</v>
      </c>
      <c r="AJ1194" t="s">
        <v>66</v>
      </c>
      <c r="AK1194" t="s">
        <v>66</v>
      </c>
      <c r="AL1194" t="s">
        <v>66</v>
      </c>
      <c r="AM1194" s="2" t="str">
        <f>HYPERLINK("https://transparencia.cidesi.mx/comprobantes/2021/CQ2100723 /C8FACTURA_1630192474266_342574077.pdf")</f>
        <v>https://transparencia.cidesi.mx/comprobantes/2021/CQ2100723 /C8FACTURA_1630192474266_342574077.pdf</v>
      </c>
      <c r="AN1194" t="str">
        <f>HYPERLINK("https://transparencia.cidesi.mx/comprobantes/2021/CQ2100723 /C8FACTURA_1630192474266_342574077.pdf")</f>
        <v>https://transparencia.cidesi.mx/comprobantes/2021/CQ2100723 /C8FACTURA_1630192474266_342574077.pdf</v>
      </c>
      <c r="AO1194" t="str">
        <f>HYPERLINK("https://transparencia.cidesi.mx/comprobantes/2021/CQ2100723 /C8FACTURA_1630192476266_342574077.xml")</f>
        <v>https://transparencia.cidesi.mx/comprobantes/2021/CQ2100723 /C8FACTURA_1630192476266_342574077.xml</v>
      </c>
      <c r="AP1194" t="s">
        <v>2253</v>
      </c>
      <c r="AQ1194" t="s">
        <v>2253</v>
      </c>
      <c r="AR1194" t="s">
        <v>2253</v>
      </c>
      <c r="AS1194" t="s">
        <v>2253</v>
      </c>
      <c r="AT1194" s="1">
        <v>44445</v>
      </c>
      <c r="AU1194" t="s">
        <v>73</v>
      </c>
    </row>
    <row r="1195" spans="1:47" x14ac:dyDescent="0.3">
      <c r="A1195" t="s">
        <v>47</v>
      </c>
      <c r="B1195" t="s">
        <v>48</v>
      </c>
      <c r="C1195" t="s">
        <v>392</v>
      </c>
      <c r="D1195">
        <v>100155</v>
      </c>
      <c r="E1195" t="s">
        <v>2233</v>
      </c>
      <c r="F1195" t="s">
        <v>769</v>
      </c>
      <c r="G1195" t="s">
        <v>404</v>
      </c>
      <c r="H1195" t="s">
        <v>2252</v>
      </c>
      <c r="I1195" t="s">
        <v>54</v>
      </c>
      <c r="J1195" t="s">
        <v>2253</v>
      </c>
      <c r="K1195" t="s">
        <v>56</v>
      </c>
      <c r="L1195">
        <v>0</v>
      </c>
      <c r="M1195" t="s">
        <v>73</v>
      </c>
      <c r="N1195">
        <v>0</v>
      </c>
      <c r="O1195" t="s">
        <v>58</v>
      </c>
      <c r="P1195" t="s">
        <v>59</v>
      </c>
      <c r="Q1195" t="s">
        <v>2254</v>
      </c>
      <c r="R1195" t="s">
        <v>2253</v>
      </c>
      <c r="S1195" s="1">
        <v>44432</v>
      </c>
      <c r="T1195" s="1">
        <v>44437</v>
      </c>
      <c r="U1195">
        <v>37501</v>
      </c>
      <c r="V1195" t="s">
        <v>61</v>
      </c>
      <c r="W1195" t="s">
        <v>2255</v>
      </c>
      <c r="X1195" s="1">
        <v>44440</v>
      </c>
      <c r="Y1195" t="s">
        <v>207</v>
      </c>
      <c r="Z1195">
        <v>848.28</v>
      </c>
      <c r="AA1195">
        <v>16</v>
      </c>
      <c r="AB1195">
        <v>135.72</v>
      </c>
      <c r="AC1195">
        <v>0</v>
      </c>
      <c r="AD1195">
        <v>984</v>
      </c>
      <c r="AE1195">
        <v>5956.3</v>
      </c>
      <c r="AF1195">
        <v>6000</v>
      </c>
      <c r="AG1195" t="s">
        <v>2237</v>
      </c>
      <c r="AH1195" t="s">
        <v>65</v>
      </c>
      <c r="AI1195" t="s">
        <v>65</v>
      </c>
      <c r="AJ1195" t="s">
        <v>66</v>
      </c>
      <c r="AK1195" t="s">
        <v>66</v>
      </c>
      <c r="AL1195" t="s">
        <v>66</v>
      </c>
      <c r="AM1195" s="2" t="str">
        <f>HYPERLINK("https://transparencia.cidesi.mx/comprobantes/2021/CQ2100723 /C9BPVOABPVOA0000000986.pdf")</f>
        <v>https://transparencia.cidesi.mx/comprobantes/2021/CQ2100723 /C9BPVOABPVOA0000000986.pdf</v>
      </c>
      <c r="AN1195" t="str">
        <f>HYPERLINK("https://transparencia.cidesi.mx/comprobantes/2021/CQ2100723 /C9BPVOABPVOA0000000986.pdf")</f>
        <v>https://transparencia.cidesi.mx/comprobantes/2021/CQ2100723 /C9BPVOABPVOA0000000986.pdf</v>
      </c>
      <c r="AO1195" t="str">
        <f>HYPERLINK("https://transparencia.cidesi.mx/comprobantes/2021/CQ2100723 /C9BPVOABPVOA0000000986.xml")</f>
        <v>https://transparencia.cidesi.mx/comprobantes/2021/CQ2100723 /C9BPVOABPVOA0000000986.xml</v>
      </c>
      <c r="AP1195" t="s">
        <v>2253</v>
      </c>
      <c r="AQ1195" t="s">
        <v>2253</v>
      </c>
      <c r="AR1195" t="s">
        <v>2253</v>
      </c>
      <c r="AS1195" t="s">
        <v>2253</v>
      </c>
      <c r="AT1195" s="1">
        <v>44445</v>
      </c>
      <c r="AU1195" t="s">
        <v>73</v>
      </c>
    </row>
    <row r="1196" spans="1:47" x14ac:dyDescent="0.3">
      <c r="A1196" t="s">
        <v>47</v>
      </c>
      <c r="B1196" t="s">
        <v>48</v>
      </c>
      <c r="C1196" t="s">
        <v>392</v>
      </c>
      <c r="D1196">
        <v>100155</v>
      </c>
      <c r="E1196" t="s">
        <v>2233</v>
      </c>
      <c r="F1196" t="s">
        <v>769</v>
      </c>
      <c r="G1196" t="s">
        <v>404</v>
      </c>
      <c r="H1196" t="s">
        <v>2252</v>
      </c>
      <c r="I1196" t="s">
        <v>54</v>
      </c>
      <c r="J1196" t="s">
        <v>2253</v>
      </c>
      <c r="K1196" t="s">
        <v>56</v>
      </c>
      <c r="L1196">
        <v>0</v>
      </c>
      <c r="M1196" t="s">
        <v>73</v>
      </c>
      <c r="N1196">
        <v>0</v>
      </c>
      <c r="O1196" t="s">
        <v>58</v>
      </c>
      <c r="P1196" t="s">
        <v>59</v>
      </c>
      <c r="Q1196" t="s">
        <v>2254</v>
      </c>
      <c r="R1196" t="s">
        <v>2253</v>
      </c>
      <c r="S1196" s="1">
        <v>44432</v>
      </c>
      <c r="T1196" s="1">
        <v>44437</v>
      </c>
      <c r="U1196">
        <v>37501</v>
      </c>
      <c r="V1196" t="s">
        <v>61</v>
      </c>
      <c r="W1196" t="s">
        <v>2255</v>
      </c>
      <c r="X1196" s="1">
        <v>44440</v>
      </c>
      <c r="Y1196" t="s">
        <v>207</v>
      </c>
      <c r="Z1196">
        <v>346.55</v>
      </c>
      <c r="AA1196">
        <v>16</v>
      </c>
      <c r="AB1196">
        <v>55.45</v>
      </c>
      <c r="AC1196">
        <v>0</v>
      </c>
      <c r="AD1196">
        <v>402</v>
      </c>
      <c r="AE1196">
        <v>5956.3</v>
      </c>
      <c r="AF1196">
        <v>6000</v>
      </c>
      <c r="AG1196" t="s">
        <v>2237</v>
      </c>
      <c r="AH1196" t="s">
        <v>65</v>
      </c>
      <c r="AI1196" t="s">
        <v>65</v>
      </c>
      <c r="AJ1196" t="s">
        <v>66</v>
      </c>
      <c r="AK1196" t="s">
        <v>66</v>
      </c>
      <c r="AL1196" t="s">
        <v>66</v>
      </c>
      <c r="AM1196" s="2" t="str">
        <f>HYPERLINK("https://transparencia.cidesi.mx/comprobantes/2021/CQ2100723 /C1069899171.pdf")</f>
        <v>https://transparencia.cidesi.mx/comprobantes/2021/CQ2100723 /C1069899171.pdf</v>
      </c>
      <c r="AN1196" t="str">
        <f>HYPERLINK("https://transparencia.cidesi.mx/comprobantes/2021/CQ2100723 /C1069899171.pdf")</f>
        <v>https://transparencia.cidesi.mx/comprobantes/2021/CQ2100723 /C1069899171.pdf</v>
      </c>
      <c r="AO1196" t="str">
        <f>HYPERLINK("https://transparencia.cidesi.mx/comprobantes/2021/CQ2100723 /C1069899171.xml")</f>
        <v>https://transparencia.cidesi.mx/comprobantes/2021/CQ2100723 /C1069899171.xml</v>
      </c>
      <c r="AP1196" t="s">
        <v>2253</v>
      </c>
      <c r="AQ1196" t="s">
        <v>2253</v>
      </c>
      <c r="AR1196" t="s">
        <v>2253</v>
      </c>
      <c r="AS1196" t="s">
        <v>2253</v>
      </c>
      <c r="AT1196" s="1">
        <v>44445</v>
      </c>
      <c r="AU1196" t="s">
        <v>73</v>
      </c>
    </row>
    <row r="1197" spans="1:47" x14ac:dyDescent="0.3">
      <c r="A1197" t="s">
        <v>47</v>
      </c>
      <c r="B1197" t="s">
        <v>48</v>
      </c>
      <c r="C1197" t="s">
        <v>392</v>
      </c>
      <c r="D1197">
        <v>100155</v>
      </c>
      <c r="E1197" t="s">
        <v>2233</v>
      </c>
      <c r="F1197" t="s">
        <v>769</v>
      </c>
      <c r="G1197" t="s">
        <v>404</v>
      </c>
      <c r="H1197" t="s">
        <v>2252</v>
      </c>
      <c r="I1197" t="s">
        <v>54</v>
      </c>
      <c r="J1197" t="s">
        <v>2253</v>
      </c>
      <c r="K1197" t="s">
        <v>56</v>
      </c>
      <c r="L1197">
        <v>0</v>
      </c>
      <c r="M1197" t="s">
        <v>73</v>
      </c>
      <c r="N1197">
        <v>0</v>
      </c>
      <c r="O1197" t="s">
        <v>58</v>
      </c>
      <c r="P1197" t="s">
        <v>59</v>
      </c>
      <c r="Q1197" t="s">
        <v>2254</v>
      </c>
      <c r="R1197" t="s">
        <v>2253</v>
      </c>
      <c r="S1197" s="1">
        <v>44432</v>
      </c>
      <c r="T1197" s="1">
        <v>44437</v>
      </c>
      <c r="U1197">
        <v>37501</v>
      </c>
      <c r="V1197" t="s">
        <v>61</v>
      </c>
      <c r="W1197" t="s">
        <v>2255</v>
      </c>
      <c r="X1197" s="1">
        <v>44440</v>
      </c>
      <c r="Y1197" t="s">
        <v>207</v>
      </c>
      <c r="Z1197">
        <v>227.07</v>
      </c>
      <c r="AA1197">
        <v>16</v>
      </c>
      <c r="AB1197">
        <v>36.33</v>
      </c>
      <c r="AC1197">
        <v>0</v>
      </c>
      <c r="AD1197">
        <v>263.39999999999998</v>
      </c>
      <c r="AE1197">
        <v>5956.3</v>
      </c>
      <c r="AF1197">
        <v>6000</v>
      </c>
      <c r="AG1197" t="s">
        <v>2237</v>
      </c>
      <c r="AH1197" t="s">
        <v>65</v>
      </c>
      <c r="AI1197" t="s">
        <v>65</v>
      </c>
      <c r="AJ1197" t="s">
        <v>66</v>
      </c>
      <c r="AK1197" t="s">
        <v>66</v>
      </c>
      <c r="AL1197" t="s">
        <v>66</v>
      </c>
      <c r="AM1197" s="2" t="str">
        <f>HYPERLINK("https://transparencia.cidesi.mx/comprobantes/2021/CQ2100723 /C1169899149.pdf")</f>
        <v>https://transparencia.cidesi.mx/comprobantes/2021/CQ2100723 /C1169899149.pdf</v>
      </c>
      <c r="AN1197" t="str">
        <f>HYPERLINK("https://transparencia.cidesi.mx/comprobantes/2021/CQ2100723 /C1169899149.pdf")</f>
        <v>https://transparencia.cidesi.mx/comprobantes/2021/CQ2100723 /C1169899149.pdf</v>
      </c>
      <c r="AO1197" t="str">
        <f>HYPERLINK("https://transparencia.cidesi.mx/comprobantes/2021/CQ2100723 /C1169899149.xml")</f>
        <v>https://transparencia.cidesi.mx/comprobantes/2021/CQ2100723 /C1169899149.xml</v>
      </c>
      <c r="AP1197" t="s">
        <v>2253</v>
      </c>
      <c r="AQ1197" t="s">
        <v>2253</v>
      </c>
      <c r="AR1197" t="s">
        <v>2253</v>
      </c>
      <c r="AS1197" t="s">
        <v>2253</v>
      </c>
      <c r="AT1197" s="1">
        <v>44445</v>
      </c>
      <c r="AU1197" t="s">
        <v>73</v>
      </c>
    </row>
    <row r="1198" spans="1:47" x14ac:dyDescent="0.3">
      <c r="A1198" t="s">
        <v>47</v>
      </c>
      <c r="B1198" t="s">
        <v>48</v>
      </c>
      <c r="C1198" t="s">
        <v>392</v>
      </c>
      <c r="D1198">
        <v>100155</v>
      </c>
      <c r="E1198" t="s">
        <v>2233</v>
      </c>
      <c r="F1198" t="s">
        <v>769</v>
      </c>
      <c r="G1198" t="s">
        <v>404</v>
      </c>
      <c r="H1198" t="s">
        <v>2252</v>
      </c>
      <c r="I1198" t="s">
        <v>54</v>
      </c>
      <c r="J1198" t="s">
        <v>2253</v>
      </c>
      <c r="K1198" t="s">
        <v>56</v>
      </c>
      <c r="L1198">
        <v>0</v>
      </c>
      <c r="M1198" t="s">
        <v>73</v>
      </c>
      <c r="N1198">
        <v>0</v>
      </c>
      <c r="O1198" t="s">
        <v>58</v>
      </c>
      <c r="P1198" t="s">
        <v>59</v>
      </c>
      <c r="Q1198" t="s">
        <v>2254</v>
      </c>
      <c r="R1198" t="s">
        <v>2253</v>
      </c>
      <c r="S1198" s="1">
        <v>44432</v>
      </c>
      <c r="T1198" s="1">
        <v>44437</v>
      </c>
      <c r="U1198">
        <v>37501</v>
      </c>
      <c r="V1198" t="s">
        <v>61</v>
      </c>
      <c r="W1198" t="s">
        <v>2255</v>
      </c>
      <c r="X1198" s="1">
        <v>44440</v>
      </c>
      <c r="Y1198" t="s">
        <v>207</v>
      </c>
      <c r="Z1198">
        <v>543.1</v>
      </c>
      <c r="AA1198">
        <v>16</v>
      </c>
      <c r="AB1198">
        <v>86.9</v>
      </c>
      <c r="AC1198">
        <v>0</v>
      </c>
      <c r="AD1198">
        <v>630</v>
      </c>
      <c r="AE1198">
        <v>5956.3</v>
      </c>
      <c r="AF1198">
        <v>6000</v>
      </c>
      <c r="AG1198" t="s">
        <v>2237</v>
      </c>
      <c r="AH1198" t="s">
        <v>65</v>
      </c>
      <c r="AI1198" t="s">
        <v>65</v>
      </c>
      <c r="AJ1198" t="s">
        <v>66</v>
      </c>
      <c r="AK1198" t="s">
        <v>66</v>
      </c>
      <c r="AL1198" t="s">
        <v>66</v>
      </c>
      <c r="AM1198" s="2" t="str">
        <f>HYPERLINK("https://transparencia.cidesi.mx/comprobantes/2021/CQ2100723 /C12FG0000017872.pdf")</f>
        <v>https://transparencia.cidesi.mx/comprobantes/2021/CQ2100723 /C12FG0000017872.pdf</v>
      </c>
      <c r="AN1198" t="str">
        <f>HYPERLINK("https://transparencia.cidesi.mx/comprobantes/2021/CQ2100723 /C12FG0000017872.pdf")</f>
        <v>https://transparencia.cidesi.mx/comprobantes/2021/CQ2100723 /C12FG0000017872.pdf</v>
      </c>
      <c r="AO1198" t="str">
        <f>HYPERLINK("https://transparencia.cidesi.mx/comprobantes/2021/CQ2100723 /C12FG0000017872.xml")</f>
        <v>https://transparencia.cidesi.mx/comprobantes/2021/CQ2100723 /C12FG0000017872.xml</v>
      </c>
      <c r="AP1198" t="s">
        <v>2253</v>
      </c>
      <c r="AQ1198" t="s">
        <v>2253</v>
      </c>
      <c r="AR1198" t="s">
        <v>2253</v>
      </c>
      <c r="AS1198" t="s">
        <v>2253</v>
      </c>
      <c r="AT1198" s="1">
        <v>44445</v>
      </c>
      <c r="AU1198" t="s">
        <v>73</v>
      </c>
    </row>
    <row r="1199" spans="1:47" x14ac:dyDescent="0.3">
      <c r="A1199" t="s">
        <v>47</v>
      </c>
      <c r="B1199" t="s">
        <v>48</v>
      </c>
      <c r="C1199" t="s">
        <v>392</v>
      </c>
      <c r="D1199">
        <v>100155</v>
      </c>
      <c r="E1199" t="s">
        <v>2233</v>
      </c>
      <c r="F1199" t="s">
        <v>769</v>
      </c>
      <c r="G1199" t="s">
        <v>404</v>
      </c>
      <c r="H1199" t="s">
        <v>2256</v>
      </c>
      <c r="I1199" t="s">
        <v>54</v>
      </c>
      <c r="J1199" t="s">
        <v>2257</v>
      </c>
      <c r="K1199" t="s">
        <v>56</v>
      </c>
      <c r="L1199">
        <v>0</v>
      </c>
      <c r="M1199" t="s">
        <v>73</v>
      </c>
      <c r="N1199">
        <v>0</v>
      </c>
      <c r="O1199" t="s">
        <v>58</v>
      </c>
      <c r="P1199" t="s">
        <v>59</v>
      </c>
      <c r="Q1199" t="s">
        <v>274</v>
      </c>
      <c r="R1199" t="s">
        <v>2257</v>
      </c>
      <c r="S1199" s="1">
        <v>44437</v>
      </c>
      <c r="T1199" s="1">
        <v>44439</v>
      </c>
      <c r="U1199">
        <v>37501</v>
      </c>
      <c r="V1199" t="s">
        <v>104</v>
      </c>
      <c r="W1199" t="s">
        <v>2258</v>
      </c>
      <c r="X1199" s="1">
        <v>44440</v>
      </c>
      <c r="Y1199" t="s">
        <v>207</v>
      </c>
      <c r="Z1199">
        <v>588.6</v>
      </c>
      <c r="AA1199">
        <v>16</v>
      </c>
      <c r="AB1199">
        <v>91.4</v>
      </c>
      <c r="AC1199">
        <v>0</v>
      </c>
      <c r="AD1199">
        <v>680</v>
      </c>
      <c r="AE1199">
        <v>2223.5</v>
      </c>
      <c r="AF1199">
        <v>2727</v>
      </c>
      <c r="AG1199" t="s">
        <v>2238</v>
      </c>
      <c r="AH1199" t="s">
        <v>65</v>
      </c>
      <c r="AI1199" t="s">
        <v>65</v>
      </c>
      <c r="AJ1199" t="s">
        <v>66</v>
      </c>
      <c r="AK1199" t="s">
        <v>66</v>
      </c>
      <c r="AL1199" t="s">
        <v>66</v>
      </c>
      <c r="AM1199" s="2" t="str">
        <f>HYPERLINK("https://transparencia.cidesi.mx/comprobantes/2021/CQ2100722 /C1FA0000018167.pdf")</f>
        <v>https://transparencia.cidesi.mx/comprobantes/2021/CQ2100722 /C1FA0000018167.pdf</v>
      </c>
      <c r="AN1199" t="str">
        <f>HYPERLINK("https://transparencia.cidesi.mx/comprobantes/2021/CQ2100722 /C1FA0000018167.pdf")</f>
        <v>https://transparencia.cidesi.mx/comprobantes/2021/CQ2100722 /C1FA0000018167.pdf</v>
      </c>
      <c r="AO1199" t="str">
        <f>HYPERLINK("https://transparencia.cidesi.mx/comprobantes/2021/CQ2100722 /C1FA0000018167.xml")</f>
        <v>https://transparencia.cidesi.mx/comprobantes/2021/CQ2100722 /C1FA0000018167.xml</v>
      </c>
      <c r="AP1199" t="s">
        <v>2257</v>
      </c>
      <c r="AQ1199" t="s">
        <v>2257</v>
      </c>
      <c r="AR1199" t="s">
        <v>2257</v>
      </c>
      <c r="AS1199" t="s">
        <v>2257</v>
      </c>
      <c r="AT1199" s="1">
        <v>44445</v>
      </c>
      <c r="AU1199" t="s">
        <v>73</v>
      </c>
    </row>
    <row r="1200" spans="1:47" x14ac:dyDescent="0.3">
      <c r="A1200" t="s">
        <v>47</v>
      </c>
      <c r="B1200" t="s">
        <v>48</v>
      </c>
      <c r="C1200" t="s">
        <v>392</v>
      </c>
      <c r="D1200">
        <v>100155</v>
      </c>
      <c r="E1200" t="s">
        <v>2233</v>
      </c>
      <c r="F1200" t="s">
        <v>769</v>
      </c>
      <c r="G1200" t="s">
        <v>404</v>
      </c>
      <c r="H1200" t="s">
        <v>2256</v>
      </c>
      <c r="I1200" t="s">
        <v>54</v>
      </c>
      <c r="J1200" t="s">
        <v>2257</v>
      </c>
      <c r="K1200" t="s">
        <v>56</v>
      </c>
      <c r="L1200">
        <v>0</v>
      </c>
      <c r="M1200" t="s">
        <v>73</v>
      </c>
      <c r="N1200">
        <v>0</v>
      </c>
      <c r="O1200" t="s">
        <v>58</v>
      </c>
      <c r="P1200" t="s">
        <v>59</v>
      </c>
      <c r="Q1200" t="s">
        <v>274</v>
      </c>
      <c r="R1200" t="s">
        <v>2257</v>
      </c>
      <c r="S1200" s="1">
        <v>44437</v>
      </c>
      <c r="T1200" s="1">
        <v>44439</v>
      </c>
      <c r="U1200">
        <v>37501</v>
      </c>
      <c r="V1200" t="s">
        <v>61</v>
      </c>
      <c r="W1200" t="s">
        <v>2258</v>
      </c>
      <c r="X1200" s="1">
        <v>44440</v>
      </c>
      <c r="Y1200" t="s">
        <v>207</v>
      </c>
      <c r="Z1200">
        <v>181.03</v>
      </c>
      <c r="AA1200">
        <v>16</v>
      </c>
      <c r="AB1200">
        <v>28.97</v>
      </c>
      <c r="AC1200">
        <v>0</v>
      </c>
      <c r="AD1200">
        <v>210</v>
      </c>
      <c r="AE1200">
        <v>2223.5</v>
      </c>
      <c r="AF1200">
        <v>2727</v>
      </c>
      <c r="AG1200" t="s">
        <v>2237</v>
      </c>
      <c r="AH1200" t="s">
        <v>65</v>
      </c>
      <c r="AI1200" t="s">
        <v>65</v>
      </c>
      <c r="AJ1200" t="s">
        <v>66</v>
      </c>
      <c r="AK1200" t="s">
        <v>66</v>
      </c>
      <c r="AL1200" t="s">
        <v>66</v>
      </c>
      <c r="AM1200" s="2" t="str">
        <f>HYPERLINK("https://transparencia.cidesi.mx/comprobantes/2021/CQ2100722 /C2FA0000018165.pdf")</f>
        <v>https://transparencia.cidesi.mx/comprobantes/2021/CQ2100722 /C2FA0000018165.pdf</v>
      </c>
      <c r="AN1200" t="str">
        <f>HYPERLINK("https://transparencia.cidesi.mx/comprobantes/2021/CQ2100722 /C2FA0000018165.pdf")</f>
        <v>https://transparencia.cidesi.mx/comprobantes/2021/CQ2100722 /C2FA0000018165.pdf</v>
      </c>
      <c r="AO1200" t="str">
        <f>HYPERLINK("https://transparencia.cidesi.mx/comprobantes/2021/CQ2100722 /C2FA0000018165.xml")</f>
        <v>https://transparencia.cidesi.mx/comprobantes/2021/CQ2100722 /C2FA0000018165.xml</v>
      </c>
      <c r="AP1200" t="s">
        <v>2257</v>
      </c>
      <c r="AQ1200" t="s">
        <v>2257</v>
      </c>
      <c r="AR1200" t="s">
        <v>2257</v>
      </c>
      <c r="AS1200" t="s">
        <v>2257</v>
      </c>
      <c r="AT1200" s="1">
        <v>44445</v>
      </c>
      <c r="AU1200" t="s">
        <v>73</v>
      </c>
    </row>
    <row r="1201" spans="1:47" x14ac:dyDescent="0.3">
      <c r="A1201" t="s">
        <v>47</v>
      </c>
      <c r="B1201" t="s">
        <v>48</v>
      </c>
      <c r="C1201" t="s">
        <v>392</v>
      </c>
      <c r="D1201">
        <v>100155</v>
      </c>
      <c r="E1201" t="s">
        <v>2233</v>
      </c>
      <c r="F1201" t="s">
        <v>769</v>
      </c>
      <c r="G1201" t="s">
        <v>404</v>
      </c>
      <c r="H1201" t="s">
        <v>2256</v>
      </c>
      <c r="I1201" t="s">
        <v>54</v>
      </c>
      <c r="J1201" t="s">
        <v>2257</v>
      </c>
      <c r="K1201" t="s">
        <v>56</v>
      </c>
      <c r="L1201">
        <v>0</v>
      </c>
      <c r="M1201" t="s">
        <v>73</v>
      </c>
      <c r="N1201">
        <v>0</v>
      </c>
      <c r="O1201" t="s">
        <v>58</v>
      </c>
      <c r="P1201" t="s">
        <v>59</v>
      </c>
      <c r="Q1201" t="s">
        <v>274</v>
      </c>
      <c r="R1201" t="s">
        <v>2257</v>
      </c>
      <c r="S1201" s="1">
        <v>44437</v>
      </c>
      <c r="T1201" s="1">
        <v>44439</v>
      </c>
      <c r="U1201">
        <v>37501</v>
      </c>
      <c r="V1201" t="s">
        <v>61</v>
      </c>
      <c r="W1201" t="s">
        <v>2258</v>
      </c>
      <c r="X1201" s="1">
        <v>44440</v>
      </c>
      <c r="Y1201" t="s">
        <v>207</v>
      </c>
      <c r="Z1201">
        <v>218.61</v>
      </c>
      <c r="AA1201">
        <v>16</v>
      </c>
      <c r="AB1201">
        <v>4.8899999999999997</v>
      </c>
      <c r="AC1201">
        <v>0</v>
      </c>
      <c r="AD1201">
        <v>223.5</v>
      </c>
      <c r="AE1201">
        <v>2223.5</v>
      </c>
      <c r="AF1201">
        <v>2727</v>
      </c>
      <c r="AG1201" t="s">
        <v>2237</v>
      </c>
      <c r="AH1201" t="s">
        <v>65</v>
      </c>
      <c r="AI1201" t="s">
        <v>65</v>
      </c>
      <c r="AJ1201" t="s">
        <v>66</v>
      </c>
      <c r="AK1201" t="s">
        <v>66</v>
      </c>
      <c r="AL1201" t="s">
        <v>66</v>
      </c>
      <c r="AM1201" s="2" t="str">
        <f>HYPERLINK("https://transparencia.cidesi.mx/comprobantes/2021/CQ2100722 /C3FACTURA_1630528332369_343597713.pdf")</f>
        <v>https://transparencia.cidesi.mx/comprobantes/2021/CQ2100722 /C3FACTURA_1630528332369_343597713.pdf</v>
      </c>
      <c r="AN1201" t="str">
        <f>HYPERLINK("https://transparencia.cidesi.mx/comprobantes/2021/CQ2100722 /C3FACTURA_1630528332369_343597713.pdf")</f>
        <v>https://transparencia.cidesi.mx/comprobantes/2021/CQ2100722 /C3FACTURA_1630528332369_343597713.pdf</v>
      </c>
      <c r="AO1201" t="str">
        <f>HYPERLINK("https://transparencia.cidesi.mx/comprobantes/2021/CQ2100722 /C3FACTURA_1630528333279_343597713.xml")</f>
        <v>https://transparencia.cidesi.mx/comprobantes/2021/CQ2100722 /C3FACTURA_1630528333279_343597713.xml</v>
      </c>
      <c r="AP1201" t="s">
        <v>2257</v>
      </c>
      <c r="AQ1201" t="s">
        <v>2257</v>
      </c>
      <c r="AR1201" t="s">
        <v>2257</v>
      </c>
      <c r="AS1201" t="s">
        <v>2257</v>
      </c>
      <c r="AT1201" s="1">
        <v>44445</v>
      </c>
      <c r="AU1201" t="s">
        <v>73</v>
      </c>
    </row>
    <row r="1202" spans="1:47" x14ac:dyDescent="0.3">
      <c r="A1202" t="s">
        <v>47</v>
      </c>
      <c r="B1202" t="s">
        <v>48</v>
      </c>
      <c r="C1202" t="s">
        <v>392</v>
      </c>
      <c r="D1202">
        <v>100155</v>
      </c>
      <c r="E1202" t="s">
        <v>2233</v>
      </c>
      <c r="F1202" t="s">
        <v>769</v>
      </c>
      <c r="G1202" t="s">
        <v>404</v>
      </c>
      <c r="H1202" t="s">
        <v>2256</v>
      </c>
      <c r="I1202" t="s">
        <v>54</v>
      </c>
      <c r="J1202" t="s">
        <v>2257</v>
      </c>
      <c r="K1202" t="s">
        <v>56</v>
      </c>
      <c r="L1202">
        <v>0</v>
      </c>
      <c r="M1202" t="s">
        <v>73</v>
      </c>
      <c r="N1202">
        <v>0</v>
      </c>
      <c r="O1202" t="s">
        <v>58</v>
      </c>
      <c r="P1202" t="s">
        <v>59</v>
      </c>
      <c r="Q1202" t="s">
        <v>274</v>
      </c>
      <c r="R1202" t="s">
        <v>2257</v>
      </c>
      <c r="S1202" s="1">
        <v>44437</v>
      </c>
      <c r="T1202" s="1">
        <v>44439</v>
      </c>
      <c r="U1202">
        <v>37501</v>
      </c>
      <c r="V1202" t="s">
        <v>61</v>
      </c>
      <c r="W1202" t="s">
        <v>2258</v>
      </c>
      <c r="X1202" s="1">
        <v>44440</v>
      </c>
      <c r="Y1202" t="s">
        <v>207</v>
      </c>
      <c r="Z1202">
        <v>93.97</v>
      </c>
      <c r="AA1202">
        <v>16</v>
      </c>
      <c r="AB1202">
        <v>15.03</v>
      </c>
      <c r="AC1202">
        <v>0</v>
      </c>
      <c r="AD1202">
        <v>109</v>
      </c>
      <c r="AE1202">
        <v>2223.5</v>
      </c>
      <c r="AF1202">
        <v>2727</v>
      </c>
      <c r="AG1202" t="s">
        <v>2237</v>
      </c>
      <c r="AH1202" t="s">
        <v>65</v>
      </c>
      <c r="AI1202" t="s">
        <v>65</v>
      </c>
      <c r="AJ1202" t="s">
        <v>66</v>
      </c>
      <c r="AK1202" t="s">
        <v>66</v>
      </c>
      <c r="AL1202" t="s">
        <v>66</v>
      </c>
      <c r="AM1202" s="2" t="str">
        <f>HYPERLINK("https://transparencia.cidesi.mx/comprobantes/2021/CQ2100722 /C438BF81B9-E007-4F27-82D2-55C9D57965EF.pdf")</f>
        <v>https://transparencia.cidesi.mx/comprobantes/2021/CQ2100722 /C438BF81B9-E007-4F27-82D2-55C9D57965EF.pdf</v>
      </c>
      <c r="AN1202" t="str">
        <f>HYPERLINK("https://transparencia.cidesi.mx/comprobantes/2021/CQ2100722 /C438BF81B9-E007-4F27-82D2-55C9D57965EF.pdf")</f>
        <v>https://transparencia.cidesi.mx/comprobantes/2021/CQ2100722 /C438BF81B9-E007-4F27-82D2-55C9D57965EF.pdf</v>
      </c>
      <c r="AO1202" t="str">
        <f>HYPERLINK("https://transparencia.cidesi.mx/comprobantes/2021/CQ2100722 /C438BF81B9-E007-4F27-82D2-55C9D57965EF.xml")</f>
        <v>https://transparencia.cidesi.mx/comprobantes/2021/CQ2100722 /C438BF81B9-E007-4F27-82D2-55C9D57965EF.xml</v>
      </c>
      <c r="AP1202" t="s">
        <v>2257</v>
      </c>
      <c r="AQ1202" t="s">
        <v>2257</v>
      </c>
      <c r="AR1202" t="s">
        <v>2257</v>
      </c>
      <c r="AS1202" t="s">
        <v>2257</v>
      </c>
      <c r="AT1202" s="1">
        <v>44445</v>
      </c>
      <c r="AU1202" t="s">
        <v>73</v>
      </c>
    </row>
    <row r="1203" spans="1:47" x14ac:dyDescent="0.3">
      <c r="A1203" t="s">
        <v>47</v>
      </c>
      <c r="B1203" t="s">
        <v>48</v>
      </c>
      <c r="C1203" t="s">
        <v>392</v>
      </c>
      <c r="D1203">
        <v>100155</v>
      </c>
      <c r="E1203" t="s">
        <v>2233</v>
      </c>
      <c r="F1203" t="s">
        <v>769</v>
      </c>
      <c r="G1203" t="s">
        <v>404</v>
      </c>
      <c r="H1203" t="s">
        <v>2256</v>
      </c>
      <c r="I1203" t="s">
        <v>54</v>
      </c>
      <c r="J1203" t="s">
        <v>2257</v>
      </c>
      <c r="K1203" t="s">
        <v>56</v>
      </c>
      <c r="L1203">
        <v>0</v>
      </c>
      <c r="M1203" t="s">
        <v>73</v>
      </c>
      <c r="N1203">
        <v>0</v>
      </c>
      <c r="O1203" t="s">
        <v>58</v>
      </c>
      <c r="P1203" t="s">
        <v>59</v>
      </c>
      <c r="Q1203" t="s">
        <v>274</v>
      </c>
      <c r="R1203" t="s">
        <v>2257</v>
      </c>
      <c r="S1203" s="1">
        <v>44437</v>
      </c>
      <c r="T1203" s="1">
        <v>44439</v>
      </c>
      <c r="U1203">
        <v>37201</v>
      </c>
      <c r="V1203" t="s">
        <v>417</v>
      </c>
      <c r="W1203" t="s">
        <v>2258</v>
      </c>
      <c r="X1203" s="1">
        <v>44440</v>
      </c>
      <c r="Y1203" t="s">
        <v>207</v>
      </c>
      <c r="Z1203">
        <v>590.52</v>
      </c>
      <c r="AA1203">
        <v>16</v>
      </c>
      <c r="AB1203">
        <v>94.48</v>
      </c>
      <c r="AC1203">
        <v>0</v>
      </c>
      <c r="AD1203">
        <v>685</v>
      </c>
      <c r="AE1203">
        <v>2223.5</v>
      </c>
      <c r="AF1203">
        <v>2727</v>
      </c>
      <c r="AG1203" t="s">
        <v>2259</v>
      </c>
      <c r="AH1203" t="s">
        <v>66</v>
      </c>
      <c r="AI1203" t="s">
        <v>65</v>
      </c>
      <c r="AJ1203" t="s">
        <v>66</v>
      </c>
      <c r="AK1203" t="s">
        <v>66</v>
      </c>
      <c r="AL1203" t="s">
        <v>66</v>
      </c>
      <c r="AM1203" s="2" t="str">
        <f>HYPERLINK("https://transparencia.cidesi.mx/comprobantes/2021/CQ2100722 /C5SECFD_20210831_100452.pdf")</f>
        <v>https://transparencia.cidesi.mx/comprobantes/2021/CQ2100722 /C5SECFD_20210831_100452.pdf</v>
      </c>
      <c r="AN1203" t="str">
        <f>HYPERLINK("https://transparencia.cidesi.mx/comprobantes/2021/CQ2100722 /C5SECFD_20210831_100452.pdf")</f>
        <v>https://transparencia.cidesi.mx/comprobantes/2021/CQ2100722 /C5SECFD_20210831_100452.pdf</v>
      </c>
      <c r="AO1203" t="str">
        <f>HYPERLINK("https://transparencia.cidesi.mx/comprobantes/2021/CQ2100722 /C5SECFD_20210831_100452.xml")</f>
        <v>https://transparencia.cidesi.mx/comprobantes/2021/CQ2100722 /C5SECFD_20210831_100452.xml</v>
      </c>
      <c r="AP1203" t="s">
        <v>2257</v>
      </c>
      <c r="AQ1203" t="s">
        <v>2257</v>
      </c>
      <c r="AR1203" t="s">
        <v>2257</v>
      </c>
      <c r="AS1203" t="s">
        <v>2257</v>
      </c>
      <c r="AT1203" s="1">
        <v>44445</v>
      </c>
      <c r="AU1203" t="s">
        <v>73</v>
      </c>
    </row>
    <row r="1204" spans="1:47" x14ac:dyDescent="0.3">
      <c r="A1204" t="s">
        <v>47</v>
      </c>
      <c r="B1204" t="s">
        <v>48</v>
      </c>
      <c r="C1204" t="s">
        <v>392</v>
      </c>
      <c r="D1204">
        <v>100155</v>
      </c>
      <c r="E1204" t="s">
        <v>2233</v>
      </c>
      <c r="F1204" t="s">
        <v>769</v>
      </c>
      <c r="G1204" t="s">
        <v>404</v>
      </c>
      <c r="H1204" t="s">
        <v>2256</v>
      </c>
      <c r="I1204" t="s">
        <v>54</v>
      </c>
      <c r="J1204" t="s">
        <v>2257</v>
      </c>
      <c r="K1204" t="s">
        <v>56</v>
      </c>
      <c r="L1204">
        <v>0</v>
      </c>
      <c r="M1204" t="s">
        <v>73</v>
      </c>
      <c r="N1204">
        <v>0</v>
      </c>
      <c r="O1204" t="s">
        <v>58</v>
      </c>
      <c r="P1204" t="s">
        <v>59</v>
      </c>
      <c r="Q1204" t="s">
        <v>274</v>
      </c>
      <c r="R1204" t="s">
        <v>2257</v>
      </c>
      <c r="S1204" s="1">
        <v>44437</v>
      </c>
      <c r="T1204" s="1">
        <v>44439</v>
      </c>
      <c r="U1204">
        <v>37201</v>
      </c>
      <c r="V1204" t="s">
        <v>417</v>
      </c>
      <c r="W1204" t="s">
        <v>2258</v>
      </c>
      <c r="X1204" s="1">
        <v>44440</v>
      </c>
      <c r="Y1204" t="s">
        <v>207</v>
      </c>
      <c r="Z1204">
        <v>272.41000000000003</v>
      </c>
      <c r="AA1204">
        <v>16</v>
      </c>
      <c r="AB1204">
        <v>43.59</v>
      </c>
      <c r="AC1204">
        <v>0</v>
      </c>
      <c r="AD1204">
        <v>316</v>
      </c>
      <c r="AE1204">
        <v>2223.5</v>
      </c>
      <c r="AF1204">
        <v>2727</v>
      </c>
      <c r="AG1204" t="s">
        <v>2259</v>
      </c>
      <c r="AH1204" t="s">
        <v>66</v>
      </c>
      <c r="AI1204" t="s">
        <v>65</v>
      </c>
      <c r="AJ1204" t="s">
        <v>66</v>
      </c>
      <c r="AK1204" t="s">
        <v>66</v>
      </c>
      <c r="AL1204" t="s">
        <v>66</v>
      </c>
      <c r="AM1204" s="2" t="str">
        <f>HYPERLINK("https://transparencia.cidesi.mx/comprobantes/2021/CQ2100722 /C6416f2ee9-33ac-44b5-8c1b-be0ecffbd5cf.pdf")</f>
        <v>https://transparencia.cidesi.mx/comprobantes/2021/CQ2100722 /C6416f2ee9-33ac-44b5-8c1b-be0ecffbd5cf.pdf</v>
      </c>
      <c r="AN1204" t="str">
        <f>HYPERLINK("https://transparencia.cidesi.mx/comprobantes/2021/CQ2100722 /C6416f2ee9-33ac-44b5-8c1b-be0ecffbd5cf.pdf")</f>
        <v>https://transparencia.cidesi.mx/comprobantes/2021/CQ2100722 /C6416f2ee9-33ac-44b5-8c1b-be0ecffbd5cf.pdf</v>
      </c>
      <c r="AO1204" t="str">
        <f>HYPERLINK("https://transparencia.cidesi.mx/comprobantes/2021/CQ2100722 /C6416f2ee9-33ac-44b5-8c1b-be0ecffbd5cf.xml")</f>
        <v>https://transparencia.cidesi.mx/comprobantes/2021/CQ2100722 /C6416f2ee9-33ac-44b5-8c1b-be0ecffbd5cf.xml</v>
      </c>
      <c r="AP1204" t="s">
        <v>2257</v>
      </c>
      <c r="AQ1204" t="s">
        <v>2257</v>
      </c>
      <c r="AR1204" t="s">
        <v>2257</v>
      </c>
      <c r="AS1204" t="s">
        <v>2257</v>
      </c>
      <c r="AT1204" s="1">
        <v>44445</v>
      </c>
      <c r="AU1204" t="s">
        <v>73</v>
      </c>
    </row>
    <row r="1205" spans="1:47" x14ac:dyDescent="0.3">
      <c r="A1205" t="s">
        <v>47</v>
      </c>
      <c r="B1205" t="s">
        <v>48</v>
      </c>
      <c r="C1205" t="s">
        <v>392</v>
      </c>
      <c r="D1205">
        <v>100155</v>
      </c>
      <c r="E1205" t="s">
        <v>2233</v>
      </c>
      <c r="F1205" t="s">
        <v>769</v>
      </c>
      <c r="G1205" t="s">
        <v>404</v>
      </c>
      <c r="H1205" t="s">
        <v>2260</v>
      </c>
      <c r="I1205" t="s">
        <v>54</v>
      </c>
      <c r="J1205" t="s">
        <v>2261</v>
      </c>
      <c r="K1205" t="s">
        <v>56</v>
      </c>
      <c r="L1205">
        <v>0</v>
      </c>
      <c r="M1205" t="s">
        <v>73</v>
      </c>
      <c r="N1205">
        <v>0</v>
      </c>
      <c r="O1205" t="s">
        <v>58</v>
      </c>
      <c r="P1205" t="s">
        <v>59</v>
      </c>
      <c r="Q1205" t="s">
        <v>60</v>
      </c>
      <c r="R1205" t="s">
        <v>2261</v>
      </c>
      <c r="S1205" s="1">
        <v>44446</v>
      </c>
      <c r="T1205" s="1">
        <v>44446</v>
      </c>
      <c r="U1205">
        <v>37501</v>
      </c>
      <c r="V1205" t="s">
        <v>61</v>
      </c>
      <c r="W1205" t="s">
        <v>2262</v>
      </c>
      <c r="X1205" s="1">
        <v>44448</v>
      </c>
      <c r="Y1205" t="s">
        <v>207</v>
      </c>
      <c r="Z1205">
        <v>103.45</v>
      </c>
      <c r="AA1205">
        <v>16</v>
      </c>
      <c r="AB1205">
        <v>16.55</v>
      </c>
      <c r="AC1205">
        <v>0</v>
      </c>
      <c r="AD1205">
        <v>120</v>
      </c>
      <c r="AE1205">
        <v>535</v>
      </c>
      <c r="AF1205">
        <v>545</v>
      </c>
      <c r="AG1205" t="s">
        <v>2237</v>
      </c>
      <c r="AH1205" t="s">
        <v>65</v>
      </c>
      <c r="AI1205" t="s">
        <v>65</v>
      </c>
      <c r="AJ1205" t="s">
        <v>66</v>
      </c>
      <c r="AK1205" t="s">
        <v>66</v>
      </c>
      <c r="AL1205" t="s">
        <v>66</v>
      </c>
      <c r="AM1205" s="2" t="str">
        <f>HYPERLINK("https://transparencia.cidesi.mx/comprobantes/2021/CQ2100766 /C1F7355B28-3B21-4E70-9BB7-39B3A0B8390C.pdf")</f>
        <v>https://transparencia.cidesi.mx/comprobantes/2021/CQ2100766 /C1F7355B28-3B21-4E70-9BB7-39B3A0B8390C.pdf</v>
      </c>
      <c r="AN1205" t="str">
        <f>HYPERLINK("https://transparencia.cidesi.mx/comprobantes/2021/CQ2100766 /C1F7355B28-3B21-4E70-9BB7-39B3A0B8390C.pdf")</f>
        <v>https://transparencia.cidesi.mx/comprobantes/2021/CQ2100766 /C1F7355B28-3B21-4E70-9BB7-39B3A0B8390C.pdf</v>
      </c>
      <c r="AO1205" t="str">
        <f>HYPERLINK("https://transparencia.cidesi.mx/comprobantes/2021/CQ2100766 /C1F7355B28-3B21-4E70-9BB7-39B3A0B8390C.xml")</f>
        <v>https://transparencia.cidesi.mx/comprobantes/2021/CQ2100766 /C1F7355B28-3B21-4E70-9BB7-39B3A0B8390C.xml</v>
      </c>
      <c r="AP1205" t="s">
        <v>2261</v>
      </c>
      <c r="AQ1205" t="s">
        <v>2261</v>
      </c>
      <c r="AR1205" t="s">
        <v>2261</v>
      </c>
      <c r="AS1205" t="s">
        <v>2261</v>
      </c>
      <c r="AT1205" s="1">
        <v>44453</v>
      </c>
      <c r="AU1205" t="s">
        <v>73</v>
      </c>
    </row>
    <row r="1206" spans="1:47" x14ac:dyDescent="0.3">
      <c r="A1206" t="s">
        <v>47</v>
      </c>
      <c r="B1206" t="s">
        <v>48</v>
      </c>
      <c r="C1206" t="s">
        <v>392</v>
      </c>
      <c r="D1206">
        <v>100155</v>
      </c>
      <c r="E1206" t="s">
        <v>2233</v>
      </c>
      <c r="F1206" t="s">
        <v>769</v>
      </c>
      <c r="G1206" t="s">
        <v>404</v>
      </c>
      <c r="H1206" t="s">
        <v>2260</v>
      </c>
      <c r="I1206" t="s">
        <v>54</v>
      </c>
      <c r="J1206" t="s">
        <v>2261</v>
      </c>
      <c r="K1206" t="s">
        <v>56</v>
      </c>
      <c r="L1206">
        <v>0</v>
      </c>
      <c r="M1206" t="s">
        <v>73</v>
      </c>
      <c r="N1206">
        <v>0</v>
      </c>
      <c r="O1206" t="s">
        <v>58</v>
      </c>
      <c r="P1206" t="s">
        <v>59</v>
      </c>
      <c r="Q1206" t="s">
        <v>60</v>
      </c>
      <c r="R1206" t="s">
        <v>2261</v>
      </c>
      <c r="S1206" s="1">
        <v>44446</v>
      </c>
      <c r="T1206" s="1">
        <v>44446</v>
      </c>
      <c r="U1206">
        <v>37501</v>
      </c>
      <c r="V1206" t="s">
        <v>61</v>
      </c>
      <c r="W1206" t="s">
        <v>2262</v>
      </c>
      <c r="X1206" s="1">
        <v>44448</v>
      </c>
      <c r="Y1206" t="s">
        <v>207</v>
      </c>
      <c r="Z1206">
        <v>228</v>
      </c>
      <c r="AA1206">
        <v>0</v>
      </c>
      <c r="AB1206">
        <v>0</v>
      </c>
      <c r="AC1206">
        <v>0</v>
      </c>
      <c r="AD1206">
        <v>228</v>
      </c>
      <c r="AE1206">
        <v>535</v>
      </c>
      <c r="AF1206">
        <v>545</v>
      </c>
      <c r="AG1206" t="s">
        <v>2237</v>
      </c>
      <c r="AH1206" t="s">
        <v>65</v>
      </c>
      <c r="AI1206" t="s">
        <v>65</v>
      </c>
      <c r="AJ1206" t="s">
        <v>66</v>
      </c>
      <c r="AK1206" t="s">
        <v>66</v>
      </c>
      <c r="AL1206" t="s">
        <v>66</v>
      </c>
      <c r="AM1206" s="2" t="str">
        <f>HYPERLINK("https://transparencia.cidesi.mx/comprobantes/2021/CQ2100766 /C2FACTURA_1631133281593_344195593.pdf")</f>
        <v>https://transparencia.cidesi.mx/comprobantes/2021/CQ2100766 /C2FACTURA_1631133281593_344195593.pdf</v>
      </c>
      <c r="AN1206" t="str">
        <f>HYPERLINK("https://transparencia.cidesi.mx/comprobantes/2021/CQ2100766 /C2FACTURA_1631133281593_344195593.pdf")</f>
        <v>https://transparencia.cidesi.mx/comprobantes/2021/CQ2100766 /C2FACTURA_1631133281593_344195593.pdf</v>
      </c>
      <c r="AO1206" t="str">
        <f>HYPERLINK("https://transparencia.cidesi.mx/comprobantes/2021/CQ2100766 /C2FACTURA_1631133282433_344195593.xml")</f>
        <v>https://transparencia.cidesi.mx/comprobantes/2021/CQ2100766 /C2FACTURA_1631133282433_344195593.xml</v>
      </c>
      <c r="AP1206" t="s">
        <v>2261</v>
      </c>
      <c r="AQ1206" t="s">
        <v>2261</v>
      </c>
      <c r="AR1206" t="s">
        <v>2261</v>
      </c>
      <c r="AS1206" t="s">
        <v>2261</v>
      </c>
      <c r="AT1206" s="1">
        <v>44453</v>
      </c>
      <c r="AU1206" t="s">
        <v>73</v>
      </c>
    </row>
    <row r="1207" spans="1:47" x14ac:dyDescent="0.3">
      <c r="A1207" t="s">
        <v>47</v>
      </c>
      <c r="B1207" t="s">
        <v>48</v>
      </c>
      <c r="C1207" t="s">
        <v>392</v>
      </c>
      <c r="D1207">
        <v>100155</v>
      </c>
      <c r="E1207" t="s">
        <v>2233</v>
      </c>
      <c r="F1207" t="s">
        <v>769</v>
      </c>
      <c r="G1207" t="s">
        <v>404</v>
      </c>
      <c r="H1207" t="s">
        <v>2260</v>
      </c>
      <c r="I1207" t="s">
        <v>54</v>
      </c>
      <c r="J1207" t="s">
        <v>2261</v>
      </c>
      <c r="K1207" t="s">
        <v>56</v>
      </c>
      <c r="L1207">
        <v>0</v>
      </c>
      <c r="M1207" t="s">
        <v>73</v>
      </c>
      <c r="N1207">
        <v>0</v>
      </c>
      <c r="O1207" t="s">
        <v>58</v>
      </c>
      <c r="P1207" t="s">
        <v>59</v>
      </c>
      <c r="Q1207" t="s">
        <v>60</v>
      </c>
      <c r="R1207" t="s">
        <v>2261</v>
      </c>
      <c r="S1207" s="1">
        <v>44446</v>
      </c>
      <c r="T1207" s="1">
        <v>44446</v>
      </c>
      <c r="U1207">
        <v>37501</v>
      </c>
      <c r="V1207" t="s">
        <v>61</v>
      </c>
      <c r="W1207" t="s">
        <v>2262</v>
      </c>
      <c r="X1207" s="1">
        <v>44448</v>
      </c>
      <c r="Y1207" t="s">
        <v>207</v>
      </c>
      <c r="Z1207">
        <v>173.55</v>
      </c>
      <c r="AA1207">
        <v>16</v>
      </c>
      <c r="AB1207">
        <v>13.45</v>
      </c>
      <c r="AC1207">
        <v>0</v>
      </c>
      <c r="AD1207">
        <v>187</v>
      </c>
      <c r="AE1207">
        <v>535</v>
      </c>
      <c r="AF1207">
        <v>545</v>
      </c>
      <c r="AG1207" t="s">
        <v>2237</v>
      </c>
      <c r="AH1207" t="s">
        <v>65</v>
      </c>
      <c r="AI1207" t="s">
        <v>65</v>
      </c>
      <c r="AJ1207" t="s">
        <v>66</v>
      </c>
      <c r="AK1207" t="s">
        <v>66</v>
      </c>
      <c r="AL1207" t="s">
        <v>66</v>
      </c>
      <c r="AM1207" s="2" t="str">
        <f>HYPERLINK("https://transparencia.cidesi.mx/comprobantes/2021/CQ2100766 /C3FACTURA_1631133366713_344195707.pdf")</f>
        <v>https://transparencia.cidesi.mx/comprobantes/2021/CQ2100766 /C3FACTURA_1631133366713_344195707.pdf</v>
      </c>
      <c r="AN1207" t="str">
        <f>HYPERLINK("https://transparencia.cidesi.mx/comprobantes/2021/CQ2100766 /C3FACTURA_1631133366713_344195707.pdf")</f>
        <v>https://transparencia.cidesi.mx/comprobantes/2021/CQ2100766 /C3FACTURA_1631133366713_344195707.pdf</v>
      </c>
      <c r="AO1207" t="str">
        <f>HYPERLINK("https://transparencia.cidesi.mx/comprobantes/2021/CQ2100766 /C3FACTURA_1631133367393_344195707.xml")</f>
        <v>https://transparencia.cidesi.mx/comprobantes/2021/CQ2100766 /C3FACTURA_1631133367393_344195707.xml</v>
      </c>
      <c r="AP1207" t="s">
        <v>2261</v>
      </c>
      <c r="AQ1207" t="s">
        <v>2261</v>
      </c>
      <c r="AR1207" t="s">
        <v>2261</v>
      </c>
      <c r="AS1207" t="s">
        <v>2261</v>
      </c>
      <c r="AT1207" s="1">
        <v>44453</v>
      </c>
      <c r="AU1207" t="s">
        <v>73</v>
      </c>
    </row>
    <row r="1208" spans="1:47" x14ac:dyDescent="0.3">
      <c r="A1208" t="s">
        <v>47</v>
      </c>
      <c r="B1208" t="s">
        <v>48</v>
      </c>
      <c r="C1208" t="s">
        <v>392</v>
      </c>
      <c r="D1208">
        <v>100155</v>
      </c>
      <c r="E1208" t="s">
        <v>2233</v>
      </c>
      <c r="F1208" t="s">
        <v>769</v>
      </c>
      <c r="G1208" t="s">
        <v>404</v>
      </c>
      <c r="H1208" t="s">
        <v>2263</v>
      </c>
      <c r="I1208" t="s">
        <v>54</v>
      </c>
      <c r="J1208" t="s">
        <v>583</v>
      </c>
      <c r="K1208" t="s">
        <v>56</v>
      </c>
      <c r="L1208">
        <v>0</v>
      </c>
      <c r="M1208" t="s">
        <v>73</v>
      </c>
      <c r="N1208">
        <v>0</v>
      </c>
      <c r="O1208" t="s">
        <v>58</v>
      </c>
      <c r="P1208" t="s">
        <v>59</v>
      </c>
      <c r="Q1208" t="s">
        <v>60</v>
      </c>
      <c r="R1208" t="s">
        <v>583</v>
      </c>
      <c r="S1208" s="1">
        <v>44448</v>
      </c>
      <c r="T1208" s="1">
        <v>44449</v>
      </c>
      <c r="U1208">
        <v>37501</v>
      </c>
      <c r="V1208" t="s">
        <v>104</v>
      </c>
      <c r="W1208" t="s">
        <v>2264</v>
      </c>
      <c r="X1208" s="1">
        <v>44459</v>
      </c>
      <c r="Y1208" t="s">
        <v>63</v>
      </c>
      <c r="Z1208">
        <v>1215.1300000000001</v>
      </c>
      <c r="AA1208">
        <v>16</v>
      </c>
      <c r="AB1208">
        <v>187.85</v>
      </c>
      <c r="AC1208">
        <v>0</v>
      </c>
      <c r="AD1208">
        <v>1402.98</v>
      </c>
      <c r="AE1208">
        <v>1541.98</v>
      </c>
      <c r="AF1208">
        <v>1636</v>
      </c>
      <c r="AG1208" t="s">
        <v>2238</v>
      </c>
      <c r="AH1208" t="s">
        <v>65</v>
      </c>
      <c r="AI1208" t="s">
        <v>65</v>
      </c>
      <c r="AJ1208" t="s">
        <v>66</v>
      </c>
      <c r="AK1208" t="s">
        <v>66</v>
      </c>
      <c r="AL1208" t="s">
        <v>66</v>
      </c>
      <c r="AM1208" s="2" t="str">
        <f>HYPERLINK("https://transparencia.cidesi.mx/comprobantes/2021/CQ2100827 /C112410110.pdf")</f>
        <v>https://transparencia.cidesi.mx/comprobantes/2021/CQ2100827 /C112410110.pdf</v>
      </c>
      <c r="AN1208" t="str">
        <f>HYPERLINK("https://transparencia.cidesi.mx/comprobantes/2021/CQ2100827 /C112410110.pdf")</f>
        <v>https://transparencia.cidesi.mx/comprobantes/2021/CQ2100827 /C112410110.pdf</v>
      </c>
      <c r="AO1208" t="str">
        <f>HYPERLINK("https://transparencia.cidesi.mx/comprobantes/2021/CQ2100827 /C112410110_timbrado.xml")</f>
        <v>https://transparencia.cidesi.mx/comprobantes/2021/CQ2100827 /C112410110_timbrado.xml</v>
      </c>
      <c r="AP1208" t="s">
        <v>583</v>
      </c>
      <c r="AQ1208" t="s">
        <v>583</v>
      </c>
      <c r="AR1208" t="s">
        <v>583</v>
      </c>
      <c r="AS1208" t="s">
        <v>583</v>
      </c>
      <c r="AT1208" s="1">
        <v>44460</v>
      </c>
      <c r="AU1208" s="1">
        <v>44476</v>
      </c>
    </row>
    <row r="1209" spans="1:47" x14ac:dyDescent="0.3">
      <c r="A1209" t="s">
        <v>47</v>
      </c>
      <c r="B1209" t="s">
        <v>48</v>
      </c>
      <c r="C1209" t="s">
        <v>392</v>
      </c>
      <c r="D1209">
        <v>100155</v>
      </c>
      <c r="E1209" t="s">
        <v>2233</v>
      </c>
      <c r="F1209" t="s">
        <v>769</v>
      </c>
      <c r="G1209" t="s">
        <v>404</v>
      </c>
      <c r="H1209" t="s">
        <v>2263</v>
      </c>
      <c r="I1209" t="s">
        <v>54</v>
      </c>
      <c r="J1209" t="s">
        <v>583</v>
      </c>
      <c r="K1209" t="s">
        <v>56</v>
      </c>
      <c r="L1209">
        <v>0</v>
      </c>
      <c r="M1209" t="s">
        <v>73</v>
      </c>
      <c r="N1209">
        <v>0</v>
      </c>
      <c r="O1209" t="s">
        <v>58</v>
      </c>
      <c r="P1209" t="s">
        <v>59</v>
      </c>
      <c r="Q1209" t="s">
        <v>60</v>
      </c>
      <c r="R1209" t="s">
        <v>583</v>
      </c>
      <c r="S1209" s="1">
        <v>44448</v>
      </c>
      <c r="T1209" s="1">
        <v>44449</v>
      </c>
      <c r="U1209">
        <v>37501</v>
      </c>
      <c r="V1209" t="s">
        <v>61</v>
      </c>
      <c r="W1209" t="s">
        <v>2264</v>
      </c>
      <c r="X1209" s="1">
        <v>44459</v>
      </c>
      <c r="Y1209" t="s">
        <v>63</v>
      </c>
      <c r="Z1209">
        <v>136.24</v>
      </c>
      <c r="AA1209">
        <v>16</v>
      </c>
      <c r="AB1209">
        <v>2.76</v>
      </c>
      <c r="AC1209">
        <v>0</v>
      </c>
      <c r="AD1209">
        <v>139</v>
      </c>
      <c r="AE1209">
        <v>1541.98</v>
      </c>
      <c r="AF1209">
        <v>1636</v>
      </c>
      <c r="AG1209" t="s">
        <v>2237</v>
      </c>
      <c r="AH1209" t="s">
        <v>65</v>
      </c>
      <c r="AI1209" t="s">
        <v>65</v>
      </c>
      <c r="AJ1209" t="s">
        <v>66</v>
      </c>
      <c r="AK1209" t="s">
        <v>66</v>
      </c>
      <c r="AL1209" t="s">
        <v>66</v>
      </c>
      <c r="AM1209" s="2" t="str">
        <f>HYPERLINK("https://transparencia.cidesi.mx/comprobantes/2021/CQ2100827 /C2FACTURA_1632153413593_345214371.pdf")</f>
        <v>https://transparencia.cidesi.mx/comprobantes/2021/CQ2100827 /C2FACTURA_1632153413593_345214371.pdf</v>
      </c>
      <c r="AN1209" t="str">
        <f>HYPERLINK("https://transparencia.cidesi.mx/comprobantes/2021/CQ2100827 /C2FACTURA_1632153413593_345214371.pdf")</f>
        <v>https://transparencia.cidesi.mx/comprobantes/2021/CQ2100827 /C2FACTURA_1632153413593_345214371.pdf</v>
      </c>
      <c r="AO1209" t="str">
        <f>HYPERLINK("https://transparencia.cidesi.mx/comprobantes/2021/CQ2100827 /C2FACTURA_1632153414673_345214371.xml")</f>
        <v>https://transparencia.cidesi.mx/comprobantes/2021/CQ2100827 /C2FACTURA_1632153414673_345214371.xml</v>
      </c>
      <c r="AP1209" t="s">
        <v>583</v>
      </c>
      <c r="AQ1209" t="s">
        <v>583</v>
      </c>
      <c r="AR1209" t="s">
        <v>583</v>
      </c>
      <c r="AS1209" t="s">
        <v>583</v>
      </c>
      <c r="AT1209" s="1">
        <v>44460</v>
      </c>
      <c r="AU1209" s="1">
        <v>44476</v>
      </c>
    </row>
    <row r="1210" spans="1:47" x14ac:dyDescent="0.3">
      <c r="A1210" t="s">
        <v>47</v>
      </c>
      <c r="B1210" t="s">
        <v>48</v>
      </c>
      <c r="C1210" t="s">
        <v>392</v>
      </c>
      <c r="D1210">
        <v>100155</v>
      </c>
      <c r="E1210" t="s">
        <v>2233</v>
      </c>
      <c r="F1210" t="s">
        <v>769</v>
      </c>
      <c r="G1210" t="s">
        <v>404</v>
      </c>
      <c r="H1210" t="s">
        <v>2265</v>
      </c>
      <c r="I1210" t="s">
        <v>54</v>
      </c>
      <c r="J1210" t="s">
        <v>2266</v>
      </c>
      <c r="K1210" t="s">
        <v>56</v>
      </c>
      <c r="L1210">
        <v>0</v>
      </c>
      <c r="M1210" t="s">
        <v>73</v>
      </c>
      <c r="N1210">
        <v>0</v>
      </c>
      <c r="O1210" t="s">
        <v>58</v>
      </c>
      <c r="P1210" t="s">
        <v>59</v>
      </c>
      <c r="Q1210" t="s">
        <v>60</v>
      </c>
      <c r="R1210" t="s">
        <v>2266</v>
      </c>
      <c r="S1210" s="1">
        <v>44462</v>
      </c>
      <c r="T1210" s="1">
        <v>44462</v>
      </c>
      <c r="U1210">
        <v>37501</v>
      </c>
      <c r="V1210" t="s">
        <v>61</v>
      </c>
      <c r="W1210" t="s">
        <v>2267</v>
      </c>
      <c r="X1210" s="1">
        <v>44467</v>
      </c>
      <c r="Y1210" t="s">
        <v>63</v>
      </c>
      <c r="Z1210">
        <v>470</v>
      </c>
      <c r="AA1210">
        <v>16</v>
      </c>
      <c r="AB1210">
        <v>75</v>
      </c>
      <c r="AC1210">
        <v>0</v>
      </c>
      <c r="AD1210">
        <v>545</v>
      </c>
      <c r="AE1210">
        <v>545</v>
      </c>
      <c r="AF1210">
        <v>545</v>
      </c>
      <c r="AG1210" t="s">
        <v>2237</v>
      </c>
      <c r="AH1210" t="s">
        <v>65</v>
      </c>
      <c r="AI1210" t="s">
        <v>65</v>
      </c>
      <c r="AJ1210" t="s">
        <v>66</v>
      </c>
      <c r="AK1210" t="s">
        <v>66</v>
      </c>
      <c r="AL1210" t="s">
        <v>66</v>
      </c>
      <c r="AM1210" s="2" t="str">
        <f>HYPERLINK("https://transparencia.cidesi.mx/comprobantes/2021/CQ2100904 /C1F0000024457.pdf")</f>
        <v>https://transparencia.cidesi.mx/comprobantes/2021/CQ2100904 /C1F0000024457.pdf</v>
      </c>
      <c r="AN1210" t="str">
        <f>HYPERLINK("https://transparencia.cidesi.mx/comprobantes/2021/CQ2100904 /C1F0000024457.pdf")</f>
        <v>https://transparencia.cidesi.mx/comprobantes/2021/CQ2100904 /C1F0000024457.pdf</v>
      </c>
      <c r="AO1210" t="str">
        <f>HYPERLINK("https://transparencia.cidesi.mx/comprobantes/2021/CQ2100904 /C1F0000024457.xml")</f>
        <v>https://transparencia.cidesi.mx/comprobantes/2021/CQ2100904 /C1F0000024457.xml</v>
      </c>
      <c r="AP1210" t="s">
        <v>2268</v>
      </c>
      <c r="AQ1210" t="s">
        <v>2269</v>
      </c>
      <c r="AR1210" t="s">
        <v>2270</v>
      </c>
      <c r="AS1210" t="s">
        <v>2270</v>
      </c>
      <c r="AT1210" s="1">
        <v>44470</v>
      </c>
      <c r="AU1210" s="1">
        <v>44470</v>
      </c>
    </row>
    <row r="1211" spans="1:47" x14ac:dyDescent="0.3">
      <c r="A1211" t="s">
        <v>47</v>
      </c>
      <c r="B1211" t="s">
        <v>48</v>
      </c>
      <c r="C1211" t="s">
        <v>2058</v>
      </c>
      <c r="D1211">
        <v>100166</v>
      </c>
      <c r="E1211" t="s">
        <v>839</v>
      </c>
      <c r="F1211" t="s">
        <v>2271</v>
      </c>
      <c r="G1211" t="s">
        <v>2272</v>
      </c>
      <c r="H1211" t="s">
        <v>2273</v>
      </c>
      <c r="I1211" t="s">
        <v>54</v>
      </c>
      <c r="J1211" t="s">
        <v>2274</v>
      </c>
      <c r="K1211" t="s">
        <v>56</v>
      </c>
      <c r="L1211">
        <v>0</v>
      </c>
      <c r="M1211" t="s">
        <v>73</v>
      </c>
      <c r="N1211">
        <v>0</v>
      </c>
      <c r="O1211" t="s">
        <v>58</v>
      </c>
      <c r="P1211" t="s">
        <v>2064</v>
      </c>
      <c r="Q1211" t="s">
        <v>60</v>
      </c>
      <c r="R1211" t="s">
        <v>2274</v>
      </c>
      <c r="S1211" s="1">
        <v>44399</v>
      </c>
      <c r="T1211" s="1">
        <v>44400</v>
      </c>
      <c r="U1211">
        <v>37501</v>
      </c>
      <c r="V1211" t="s">
        <v>61</v>
      </c>
      <c r="W1211" t="s">
        <v>2275</v>
      </c>
      <c r="X1211" s="1">
        <v>44406</v>
      </c>
      <c r="Y1211" t="s">
        <v>63</v>
      </c>
      <c r="Z1211">
        <v>208.62</v>
      </c>
      <c r="AA1211">
        <v>16</v>
      </c>
      <c r="AB1211">
        <v>33.380000000000003</v>
      </c>
      <c r="AC1211">
        <v>0</v>
      </c>
      <c r="AD1211">
        <v>242</v>
      </c>
      <c r="AE1211">
        <v>973.5</v>
      </c>
      <c r="AF1211">
        <v>1636</v>
      </c>
      <c r="AG1211" t="s">
        <v>2276</v>
      </c>
      <c r="AH1211" t="s">
        <v>65</v>
      </c>
      <c r="AI1211" t="s">
        <v>65</v>
      </c>
      <c r="AJ1211" t="s">
        <v>66</v>
      </c>
      <c r="AK1211" t="s">
        <v>66</v>
      </c>
      <c r="AL1211" t="s">
        <v>66</v>
      </c>
      <c r="AM1211" s="2" t="str">
        <f>HYPERLINK("https://transparencia.cidesi.mx/comprobantes/2021/CE2100011 /C1F480_ROLA001218LAA.pdf")</f>
        <v>https://transparencia.cidesi.mx/comprobantes/2021/CE2100011 /C1F480_ROLA001218LAA.pdf</v>
      </c>
      <c r="AN1211" t="str">
        <f>HYPERLINK("https://transparencia.cidesi.mx/comprobantes/2021/CE2100011 /C1F480_ROLA001218LAA.pdf")</f>
        <v>https://transparencia.cidesi.mx/comprobantes/2021/CE2100011 /C1F480_ROLA001218LAA.pdf</v>
      </c>
      <c r="AO1211" t="str">
        <f>HYPERLINK("https://transparencia.cidesi.mx/comprobantes/2021/CE2100011 /C1F480_ROLA001218LAA.xml")</f>
        <v>https://transparencia.cidesi.mx/comprobantes/2021/CE2100011 /C1F480_ROLA001218LAA.xml</v>
      </c>
      <c r="AP1211" t="s">
        <v>2277</v>
      </c>
      <c r="AQ1211" t="s">
        <v>2278</v>
      </c>
      <c r="AR1211" t="s">
        <v>2279</v>
      </c>
      <c r="AS1211" t="s">
        <v>2279</v>
      </c>
      <c r="AT1211" s="1">
        <v>44407</v>
      </c>
      <c r="AU1211" s="1">
        <v>44428</v>
      </c>
    </row>
    <row r="1212" spans="1:47" x14ac:dyDescent="0.3">
      <c r="A1212" t="s">
        <v>47</v>
      </c>
      <c r="B1212" t="s">
        <v>48</v>
      </c>
      <c r="C1212" t="s">
        <v>2058</v>
      </c>
      <c r="D1212">
        <v>100166</v>
      </c>
      <c r="E1212" t="s">
        <v>839</v>
      </c>
      <c r="F1212" t="s">
        <v>2271</v>
      </c>
      <c r="G1212" t="s">
        <v>2272</v>
      </c>
      <c r="H1212" t="s">
        <v>2273</v>
      </c>
      <c r="I1212" t="s">
        <v>54</v>
      </c>
      <c r="J1212" t="s">
        <v>2274</v>
      </c>
      <c r="K1212" t="s">
        <v>56</v>
      </c>
      <c r="L1212">
        <v>0</v>
      </c>
      <c r="M1212" t="s">
        <v>73</v>
      </c>
      <c r="N1212">
        <v>0</v>
      </c>
      <c r="O1212" t="s">
        <v>58</v>
      </c>
      <c r="P1212" t="s">
        <v>2064</v>
      </c>
      <c r="Q1212" t="s">
        <v>60</v>
      </c>
      <c r="R1212" t="s">
        <v>2274</v>
      </c>
      <c r="S1212" s="1">
        <v>44399</v>
      </c>
      <c r="T1212" s="1">
        <v>44400</v>
      </c>
      <c r="U1212">
        <v>37501</v>
      </c>
      <c r="V1212" t="s">
        <v>61</v>
      </c>
      <c r="W1212" t="s">
        <v>2275</v>
      </c>
      <c r="X1212" s="1">
        <v>44406</v>
      </c>
      <c r="Y1212" t="s">
        <v>63</v>
      </c>
      <c r="Z1212">
        <v>573.28</v>
      </c>
      <c r="AA1212">
        <v>16</v>
      </c>
      <c r="AB1212">
        <v>91.72</v>
      </c>
      <c r="AC1212">
        <v>66.5</v>
      </c>
      <c r="AD1212">
        <v>731.5</v>
      </c>
      <c r="AE1212">
        <v>973.5</v>
      </c>
      <c r="AF1212">
        <v>1636</v>
      </c>
      <c r="AG1212" t="s">
        <v>2276</v>
      </c>
      <c r="AH1212" t="s">
        <v>65</v>
      </c>
      <c r="AI1212" t="s">
        <v>65</v>
      </c>
      <c r="AJ1212" t="s">
        <v>66</v>
      </c>
      <c r="AK1212" t="s">
        <v>66</v>
      </c>
      <c r="AL1212" t="s">
        <v>66</v>
      </c>
      <c r="AM1212" s="2" t="str">
        <f>HYPERLINK("https://transparencia.cidesi.mx/comprobantes/2021/CE2100011 /C2A32803_OSU011012H82.pdf")</f>
        <v>https://transparencia.cidesi.mx/comprobantes/2021/CE2100011 /C2A32803_OSU011012H82.pdf</v>
      </c>
      <c r="AN1212" t="str">
        <f>HYPERLINK("https://transparencia.cidesi.mx/comprobantes/2021/CE2100011 /C2A32803_OSU011012H82.pdf")</f>
        <v>https://transparencia.cidesi.mx/comprobantes/2021/CE2100011 /C2A32803_OSU011012H82.pdf</v>
      </c>
      <c r="AO1212" t="str">
        <f>HYPERLINK("https://transparencia.cidesi.mx/comprobantes/2021/CE2100011 /C2A32803_OSU011012H82.xml")</f>
        <v>https://transparencia.cidesi.mx/comprobantes/2021/CE2100011 /C2A32803_OSU011012H82.xml</v>
      </c>
      <c r="AP1212" t="s">
        <v>2277</v>
      </c>
      <c r="AQ1212" t="s">
        <v>2278</v>
      </c>
      <c r="AR1212" t="s">
        <v>2279</v>
      </c>
      <c r="AS1212" t="s">
        <v>2279</v>
      </c>
      <c r="AT1212" s="1">
        <v>44407</v>
      </c>
      <c r="AU1212" s="1">
        <v>44428</v>
      </c>
    </row>
    <row r="1213" spans="1:47" x14ac:dyDescent="0.3">
      <c r="A1213" t="s">
        <v>47</v>
      </c>
      <c r="B1213" t="s">
        <v>48</v>
      </c>
      <c r="C1213" t="s">
        <v>2058</v>
      </c>
      <c r="D1213">
        <v>100166</v>
      </c>
      <c r="E1213" t="s">
        <v>839</v>
      </c>
      <c r="F1213" t="s">
        <v>2271</v>
      </c>
      <c r="G1213" t="s">
        <v>2272</v>
      </c>
      <c r="H1213" t="s">
        <v>2280</v>
      </c>
      <c r="I1213" t="s">
        <v>54</v>
      </c>
      <c r="J1213" t="s">
        <v>2243</v>
      </c>
      <c r="K1213" t="s">
        <v>56</v>
      </c>
      <c r="L1213">
        <v>0</v>
      </c>
      <c r="M1213" t="s">
        <v>73</v>
      </c>
      <c r="N1213">
        <v>0</v>
      </c>
      <c r="O1213" t="s">
        <v>58</v>
      </c>
      <c r="P1213" t="s">
        <v>2064</v>
      </c>
      <c r="Q1213" t="s">
        <v>60</v>
      </c>
      <c r="R1213" t="s">
        <v>2243</v>
      </c>
      <c r="S1213" s="1">
        <v>44403</v>
      </c>
      <c r="T1213" s="1">
        <v>44406</v>
      </c>
      <c r="U1213">
        <v>37501</v>
      </c>
      <c r="V1213" t="s">
        <v>61</v>
      </c>
      <c r="W1213" t="s">
        <v>2281</v>
      </c>
      <c r="X1213" s="1">
        <v>44406</v>
      </c>
      <c r="Y1213" t="s">
        <v>63</v>
      </c>
      <c r="Z1213">
        <v>241.38</v>
      </c>
      <c r="AA1213">
        <v>16</v>
      </c>
      <c r="AB1213">
        <v>38.619999999999997</v>
      </c>
      <c r="AC1213">
        <v>28</v>
      </c>
      <c r="AD1213">
        <v>308</v>
      </c>
      <c r="AE1213">
        <v>308</v>
      </c>
      <c r="AF1213">
        <v>3818</v>
      </c>
      <c r="AG1213" t="s">
        <v>2276</v>
      </c>
      <c r="AH1213" t="s">
        <v>65</v>
      </c>
      <c r="AI1213" t="s">
        <v>65</v>
      </c>
      <c r="AJ1213" t="s">
        <v>66</v>
      </c>
      <c r="AK1213" t="s">
        <v>66</v>
      </c>
      <c r="AL1213" t="s">
        <v>66</v>
      </c>
      <c r="AM1213" s="2" t="str">
        <f>HYPERLINK("https://transparencia.cidesi.mx/comprobantes/2021/CE2100012 /C1A1765_OAC150623HVA.pdf")</f>
        <v>https://transparencia.cidesi.mx/comprobantes/2021/CE2100012 /C1A1765_OAC150623HVA.pdf</v>
      </c>
      <c r="AN1213" t="str">
        <f>HYPERLINK("https://transparencia.cidesi.mx/comprobantes/2021/CE2100012 /C1A1765_OAC150623HVA.pdf")</f>
        <v>https://transparencia.cidesi.mx/comprobantes/2021/CE2100012 /C1A1765_OAC150623HVA.pdf</v>
      </c>
      <c r="AO1213" t="str">
        <f>HYPERLINK("https://transparencia.cidesi.mx/comprobantes/2021/CE2100012 /C1A1765_OAC150623HVA.xml")</f>
        <v>https://transparencia.cidesi.mx/comprobantes/2021/CE2100012 /C1A1765_OAC150623HVA.xml</v>
      </c>
      <c r="AP1213" t="s">
        <v>2282</v>
      </c>
      <c r="AQ1213" t="s">
        <v>2278</v>
      </c>
      <c r="AR1213" t="s">
        <v>2283</v>
      </c>
      <c r="AS1213" t="s">
        <v>2283</v>
      </c>
      <c r="AT1213" s="1">
        <v>44407</v>
      </c>
      <c r="AU1213" s="1">
        <v>44428</v>
      </c>
    </row>
    <row r="1214" spans="1:47" x14ac:dyDescent="0.3">
      <c r="A1214" t="s">
        <v>47</v>
      </c>
      <c r="B1214" t="s">
        <v>48</v>
      </c>
      <c r="C1214" t="s">
        <v>2058</v>
      </c>
      <c r="D1214">
        <v>100166</v>
      </c>
      <c r="E1214" t="s">
        <v>839</v>
      </c>
      <c r="F1214" t="s">
        <v>2271</v>
      </c>
      <c r="G1214" t="s">
        <v>2272</v>
      </c>
      <c r="H1214" t="s">
        <v>2284</v>
      </c>
      <c r="I1214" t="s">
        <v>54</v>
      </c>
      <c r="J1214" t="s">
        <v>2285</v>
      </c>
      <c r="K1214" t="s">
        <v>56</v>
      </c>
      <c r="L1214">
        <v>0</v>
      </c>
      <c r="M1214" t="s">
        <v>73</v>
      </c>
      <c r="N1214">
        <v>0</v>
      </c>
      <c r="O1214" t="s">
        <v>58</v>
      </c>
      <c r="P1214" t="s">
        <v>2064</v>
      </c>
      <c r="Q1214" t="s">
        <v>1432</v>
      </c>
      <c r="R1214" t="s">
        <v>2285</v>
      </c>
      <c r="S1214" s="1">
        <v>44421</v>
      </c>
      <c r="T1214" s="1">
        <v>44422</v>
      </c>
      <c r="U1214">
        <v>37501</v>
      </c>
      <c r="V1214" t="s">
        <v>104</v>
      </c>
      <c r="W1214" t="s">
        <v>2286</v>
      </c>
      <c r="X1214" s="1">
        <v>44427</v>
      </c>
      <c r="Y1214" t="s">
        <v>63</v>
      </c>
      <c r="Z1214">
        <v>751.81</v>
      </c>
      <c r="AA1214">
        <v>16</v>
      </c>
      <c r="AB1214">
        <v>120.29</v>
      </c>
      <c r="AC1214">
        <v>27.89</v>
      </c>
      <c r="AD1214">
        <v>899.99</v>
      </c>
      <c r="AE1214">
        <v>1568.15</v>
      </c>
      <c r="AF1214">
        <v>1636</v>
      </c>
      <c r="AG1214" t="s">
        <v>2287</v>
      </c>
      <c r="AH1214" t="s">
        <v>66</v>
      </c>
      <c r="AI1214" t="s">
        <v>65</v>
      </c>
      <c r="AJ1214" t="s">
        <v>66</v>
      </c>
      <c r="AK1214" t="s">
        <v>66</v>
      </c>
      <c r="AL1214" t="s">
        <v>66</v>
      </c>
      <c r="AM1214" s="2" t="str">
        <f>HYPERLINK("https://transparencia.cidesi.mx/comprobantes/2021/CE2100018 /C120470_ROM120911HU5.pdf")</f>
        <v>https://transparencia.cidesi.mx/comprobantes/2021/CE2100018 /C120470_ROM120911HU5.pdf</v>
      </c>
      <c r="AN1214" t="str">
        <f>HYPERLINK("https://transparencia.cidesi.mx/comprobantes/2021/CE2100018 /C120470_ROM120911HU5.pdf")</f>
        <v>https://transparencia.cidesi.mx/comprobantes/2021/CE2100018 /C120470_ROM120911HU5.pdf</v>
      </c>
      <c r="AO1214" t="str">
        <f>HYPERLINK("https://transparencia.cidesi.mx/comprobantes/2021/CE2100018 /C120470_ROM120911HU5.xml")</f>
        <v>https://transparencia.cidesi.mx/comprobantes/2021/CE2100018 /C120470_ROM120911HU5.xml</v>
      </c>
      <c r="AP1214" t="s">
        <v>2288</v>
      </c>
      <c r="AQ1214" t="s">
        <v>2289</v>
      </c>
      <c r="AR1214" t="s">
        <v>2290</v>
      </c>
      <c r="AS1214" t="s">
        <v>2290</v>
      </c>
      <c r="AT1214" s="1">
        <v>44433</v>
      </c>
      <c r="AU1214" s="1">
        <v>44442</v>
      </c>
    </row>
    <row r="1215" spans="1:47" x14ac:dyDescent="0.3">
      <c r="A1215" t="s">
        <v>47</v>
      </c>
      <c r="B1215" t="s">
        <v>48</v>
      </c>
      <c r="C1215" t="s">
        <v>2058</v>
      </c>
      <c r="D1215">
        <v>100166</v>
      </c>
      <c r="E1215" t="s">
        <v>839</v>
      </c>
      <c r="F1215" t="s">
        <v>2271</v>
      </c>
      <c r="G1215" t="s">
        <v>2272</v>
      </c>
      <c r="H1215" t="s">
        <v>2284</v>
      </c>
      <c r="I1215" t="s">
        <v>54</v>
      </c>
      <c r="J1215" t="s">
        <v>2285</v>
      </c>
      <c r="K1215" t="s">
        <v>56</v>
      </c>
      <c r="L1215">
        <v>0</v>
      </c>
      <c r="M1215" t="s">
        <v>73</v>
      </c>
      <c r="N1215">
        <v>0</v>
      </c>
      <c r="O1215" t="s">
        <v>58</v>
      </c>
      <c r="P1215" t="s">
        <v>2064</v>
      </c>
      <c r="Q1215" t="s">
        <v>1432</v>
      </c>
      <c r="R1215" t="s">
        <v>2285</v>
      </c>
      <c r="S1215" s="1">
        <v>44421</v>
      </c>
      <c r="T1215" s="1">
        <v>44422</v>
      </c>
      <c r="U1215">
        <v>37501</v>
      </c>
      <c r="V1215" t="s">
        <v>61</v>
      </c>
      <c r="W1215" t="s">
        <v>2286</v>
      </c>
      <c r="X1215" s="1">
        <v>44427</v>
      </c>
      <c r="Y1215" t="s">
        <v>63</v>
      </c>
      <c r="Z1215">
        <v>155.16999999999999</v>
      </c>
      <c r="AA1215">
        <v>16</v>
      </c>
      <c r="AB1215">
        <v>24.83</v>
      </c>
      <c r="AC1215">
        <v>0</v>
      </c>
      <c r="AD1215">
        <v>180</v>
      </c>
      <c r="AE1215">
        <v>1568.15</v>
      </c>
      <c r="AF1215">
        <v>1636</v>
      </c>
      <c r="AG1215" t="s">
        <v>2276</v>
      </c>
      <c r="AH1215" t="s">
        <v>65</v>
      </c>
      <c r="AI1215" t="s">
        <v>65</v>
      </c>
      <c r="AJ1215" t="s">
        <v>66</v>
      </c>
      <c r="AK1215" t="s">
        <v>66</v>
      </c>
      <c r="AL1215" t="s">
        <v>66</v>
      </c>
      <c r="AM1215" s="2" t="str">
        <f>HYPERLINK("https://transparencia.cidesi.mx/comprobantes/2021/CE2100018 /C2LWF1641195_DLI931201MI9.pdf")</f>
        <v>https://transparencia.cidesi.mx/comprobantes/2021/CE2100018 /C2LWF1641195_DLI931201MI9.pdf</v>
      </c>
      <c r="AN1215" t="str">
        <f>HYPERLINK("https://transparencia.cidesi.mx/comprobantes/2021/CE2100018 /C2LWF1641195_DLI931201MI9.pdf")</f>
        <v>https://transparencia.cidesi.mx/comprobantes/2021/CE2100018 /C2LWF1641195_DLI931201MI9.pdf</v>
      </c>
      <c r="AO1215" t="str">
        <f>HYPERLINK("https://transparencia.cidesi.mx/comprobantes/2021/CE2100018 /C2LWF1641195_DLI931201MI9.xml")</f>
        <v>https://transparencia.cidesi.mx/comprobantes/2021/CE2100018 /C2LWF1641195_DLI931201MI9.xml</v>
      </c>
      <c r="AP1215" t="s">
        <v>2288</v>
      </c>
      <c r="AQ1215" t="s">
        <v>2289</v>
      </c>
      <c r="AR1215" t="s">
        <v>2290</v>
      </c>
      <c r="AS1215" t="s">
        <v>2290</v>
      </c>
      <c r="AT1215" s="1">
        <v>44433</v>
      </c>
      <c r="AU1215" s="1">
        <v>44442</v>
      </c>
    </row>
    <row r="1216" spans="1:47" x14ac:dyDescent="0.3">
      <c r="A1216" t="s">
        <v>47</v>
      </c>
      <c r="B1216" t="s">
        <v>48</v>
      </c>
      <c r="C1216" t="s">
        <v>2058</v>
      </c>
      <c r="D1216">
        <v>100166</v>
      </c>
      <c r="E1216" t="s">
        <v>839</v>
      </c>
      <c r="F1216" t="s">
        <v>2271</v>
      </c>
      <c r="G1216" t="s">
        <v>2272</v>
      </c>
      <c r="H1216" t="s">
        <v>2284</v>
      </c>
      <c r="I1216" t="s">
        <v>54</v>
      </c>
      <c r="J1216" t="s">
        <v>2285</v>
      </c>
      <c r="K1216" t="s">
        <v>56</v>
      </c>
      <c r="L1216">
        <v>0</v>
      </c>
      <c r="M1216" t="s">
        <v>73</v>
      </c>
      <c r="N1216">
        <v>0</v>
      </c>
      <c r="O1216" t="s">
        <v>58</v>
      </c>
      <c r="P1216" t="s">
        <v>2064</v>
      </c>
      <c r="Q1216" t="s">
        <v>1432</v>
      </c>
      <c r="R1216" t="s">
        <v>2285</v>
      </c>
      <c r="S1216" s="1">
        <v>44421</v>
      </c>
      <c r="T1216" s="1">
        <v>44422</v>
      </c>
      <c r="U1216">
        <v>37501</v>
      </c>
      <c r="V1216" t="s">
        <v>61</v>
      </c>
      <c r="W1216" t="s">
        <v>2286</v>
      </c>
      <c r="X1216" s="1">
        <v>44427</v>
      </c>
      <c r="Y1216" t="s">
        <v>63</v>
      </c>
      <c r="Z1216">
        <v>365.94</v>
      </c>
      <c r="AA1216">
        <v>16</v>
      </c>
      <c r="AB1216">
        <v>58.55</v>
      </c>
      <c r="AC1216">
        <v>63.67</v>
      </c>
      <c r="AD1216">
        <v>488.16</v>
      </c>
      <c r="AE1216">
        <v>1568.15</v>
      </c>
      <c r="AF1216">
        <v>1636</v>
      </c>
      <c r="AG1216" t="s">
        <v>2276</v>
      </c>
      <c r="AH1216" t="s">
        <v>65</v>
      </c>
      <c r="AI1216" t="s">
        <v>65</v>
      </c>
      <c r="AJ1216" t="s">
        <v>66</v>
      </c>
      <c r="AK1216" t="s">
        <v>66</v>
      </c>
      <c r="AL1216" t="s">
        <v>66</v>
      </c>
      <c r="AM1216" s="2" t="str">
        <f>HYPERLINK("https://transparencia.cidesi.mx/comprobantes/2021/CE2100018 /C3BRJ140520686_JUR20051.pdf")</f>
        <v>https://transparencia.cidesi.mx/comprobantes/2021/CE2100018 /C3BRJ140520686_JUR20051.pdf</v>
      </c>
      <c r="AN1216" t="str">
        <f>HYPERLINK("https://transparencia.cidesi.mx/comprobantes/2021/CE2100018 /C3BRJ140520686_JUR20051.pdf")</f>
        <v>https://transparencia.cidesi.mx/comprobantes/2021/CE2100018 /C3BRJ140520686_JUR20051.pdf</v>
      </c>
      <c r="AO1216" t="str">
        <f>HYPERLINK("https://transparencia.cidesi.mx/comprobantes/2021/CE2100018 /C3BRJ140520686_JUR20051.xml")</f>
        <v>https://transparencia.cidesi.mx/comprobantes/2021/CE2100018 /C3BRJ140520686_JUR20051.xml</v>
      </c>
      <c r="AP1216" t="s">
        <v>2288</v>
      </c>
      <c r="AQ1216" t="s">
        <v>2289</v>
      </c>
      <c r="AR1216" t="s">
        <v>2290</v>
      </c>
      <c r="AS1216" t="s">
        <v>2290</v>
      </c>
      <c r="AT1216" s="1">
        <v>44433</v>
      </c>
      <c r="AU1216" s="1">
        <v>44442</v>
      </c>
    </row>
    <row r="1217" spans="1:47" x14ac:dyDescent="0.3">
      <c r="A1217" t="s">
        <v>246</v>
      </c>
      <c r="B1217" t="s">
        <v>48</v>
      </c>
      <c r="C1217" t="s">
        <v>338</v>
      </c>
      <c r="D1217">
        <v>100187</v>
      </c>
      <c r="E1217" t="s">
        <v>302</v>
      </c>
      <c r="F1217" t="s">
        <v>2291</v>
      </c>
      <c r="G1217" t="s">
        <v>303</v>
      </c>
      <c r="H1217" t="s">
        <v>2292</v>
      </c>
      <c r="I1217" t="s">
        <v>54</v>
      </c>
      <c r="J1217" t="s">
        <v>2293</v>
      </c>
      <c r="K1217" t="s">
        <v>56</v>
      </c>
      <c r="L1217">
        <v>0</v>
      </c>
      <c r="M1217" t="s">
        <v>73</v>
      </c>
      <c r="N1217">
        <v>0</v>
      </c>
      <c r="O1217" t="s">
        <v>58</v>
      </c>
      <c r="P1217" t="s">
        <v>59</v>
      </c>
      <c r="Q1217" t="s">
        <v>1432</v>
      </c>
      <c r="R1217" t="s">
        <v>2293</v>
      </c>
      <c r="S1217" s="1">
        <v>44403</v>
      </c>
      <c r="T1217" s="1">
        <v>44403</v>
      </c>
      <c r="U1217">
        <v>37501</v>
      </c>
      <c r="V1217" t="s">
        <v>61</v>
      </c>
      <c r="W1217" t="s">
        <v>2294</v>
      </c>
      <c r="X1217" s="1">
        <v>44406</v>
      </c>
      <c r="Y1217" t="s">
        <v>207</v>
      </c>
      <c r="Z1217">
        <v>387.93</v>
      </c>
      <c r="AA1217">
        <v>16</v>
      </c>
      <c r="AB1217">
        <v>62.07</v>
      </c>
      <c r="AC1217">
        <v>0</v>
      </c>
      <c r="AD1217">
        <v>450</v>
      </c>
      <c r="AE1217">
        <v>450</v>
      </c>
      <c r="AF1217">
        <v>545</v>
      </c>
      <c r="AG1217" t="s">
        <v>2295</v>
      </c>
      <c r="AH1217" t="s">
        <v>65</v>
      </c>
      <c r="AI1217" t="s">
        <v>65</v>
      </c>
      <c r="AJ1217" t="s">
        <v>66</v>
      </c>
      <c r="AK1217" t="s">
        <v>66</v>
      </c>
      <c r="AL1217" t="s">
        <v>66</v>
      </c>
      <c r="AM1217" s="2" t="str">
        <f>HYPERLINK("https://transparencia.cidesi.mx/comprobantes/2021/CQ2100566 /C1aaa12602-6adc-4ce6-a644-813418d91972.pdf")</f>
        <v>https://transparencia.cidesi.mx/comprobantes/2021/CQ2100566 /C1aaa12602-6adc-4ce6-a644-813418d91972.pdf</v>
      </c>
      <c r="AN1217" t="str">
        <f>HYPERLINK("https://transparencia.cidesi.mx/comprobantes/2021/CQ2100566 /C1aaa12602-6adc-4ce6-a644-813418d91972.pdf")</f>
        <v>https://transparencia.cidesi.mx/comprobantes/2021/CQ2100566 /C1aaa12602-6adc-4ce6-a644-813418d91972.pdf</v>
      </c>
      <c r="AO1217" t="str">
        <f>HYPERLINK("https://transparencia.cidesi.mx/comprobantes/2021/CQ2100566 /C1aaa12602-6adc-4ce6-a644-813418d91972.xml")</f>
        <v>https://transparencia.cidesi.mx/comprobantes/2021/CQ2100566 /C1aaa12602-6adc-4ce6-a644-813418d91972.xml</v>
      </c>
      <c r="AP1217" t="s">
        <v>2296</v>
      </c>
      <c r="AQ1217" t="s">
        <v>2297</v>
      </c>
      <c r="AR1217" t="s">
        <v>2298</v>
      </c>
      <c r="AS1217" t="s">
        <v>2299</v>
      </c>
      <c r="AT1217" s="1">
        <v>44411</v>
      </c>
      <c r="AU1217" t="s">
        <v>73</v>
      </c>
    </row>
    <row r="1218" spans="1:47" x14ac:dyDescent="0.3">
      <c r="A1218" t="s">
        <v>246</v>
      </c>
      <c r="B1218" t="s">
        <v>48</v>
      </c>
      <c r="C1218" t="s">
        <v>338</v>
      </c>
      <c r="D1218">
        <v>100187</v>
      </c>
      <c r="E1218" t="s">
        <v>302</v>
      </c>
      <c r="F1218" t="s">
        <v>2291</v>
      </c>
      <c r="G1218" t="s">
        <v>303</v>
      </c>
      <c r="H1218" t="s">
        <v>2300</v>
      </c>
      <c r="I1218" t="s">
        <v>54</v>
      </c>
      <c r="J1218" t="s">
        <v>2301</v>
      </c>
      <c r="K1218" t="s">
        <v>56</v>
      </c>
      <c r="L1218">
        <v>0</v>
      </c>
      <c r="M1218" t="s">
        <v>73</v>
      </c>
      <c r="N1218">
        <v>0</v>
      </c>
      <c r="O1218" t="s">
        <v>58</v>
      </c>
      <c r="P1218" t="s">
        <v>59</v>
      </c>
      <c r="Q1218" t="s">
        <v>1432</v>
      </c>
      <c r="R1218" t="s">
        <v>2301</v>
      </c>
      <c r="S1218" s="1">
        <v>44414</v>
      </c>
      <c r="T1218" s="1">
        <v>44415</v>
      </c>
      <c r="U1218">
        <v>37501</v>
      </c>
      <c r="V1218" t="s">
        <v>61</v>
      </c>
      <c r="W1218" t="s">
        <v>2302</v>
      </c>
      <c r="X1218" s="1">
        <v>44421</v>
      </c>
      <c r="Y1218" t="s">
        <v>207</v>
      </c>
      <c r="Z1218">
        <v>277.58999999999997</v>
      </c>
      <c r="AA1218">
        <v>16</v>
      </c>
      <c r="AB1218">
        <v>44.41</v>
      </c>
      <c r="AC1218">
        <v>0</v>
      </c>
      <c r="AD1218">
        <v>322</v>
      </c>
      <c r="AE1218">
        <v>1203</v>
      </c>
      <c r="AF1218">
        <v>1636</v>
      </c>
      <c r="AG1218" t="s">
        <v>2295</v>
      </c>
      <c r="AH1218" t="s">
        <v>65</v>
      </c>
      <c r="AI1218" t="s">
        <v>65</v>
      </c>
      <c r="AJ1218" t="s">
        <v>66</v>
      </c>
      <c r="AK1218" t="s">
        <v>66</v>
      </c>
      <c r="AL1218" t="s">
        <v>66</v>
      </c>
      <c r="AM1218" s="2" t="str">
        <f>HYPERLINK("https://transparencia.cidesi.mx/comprobantes/2021/CQ2100645 /C154f09b94-18dd-486b-9172-8fa22463bd87.pdf")</f>
        <v>https://transparencia.cidesi.mx/comprobantes/2021/CQ2100645 /C154f09b94-18dd-486b-9172-8fa22463bd87.pdf</v>
      </c>
      <c r="AN1218" t="str">
        <f>HYPERLINK("https://transparencia.cidesi.mx/comprobantes/2021/CQ2100645 /C154f09b94-18dd-486b-9172-8fa22463bd87.pdf")</f>
        <v>https://transparencia.cidesi.mx/comprobantes/2021/CQ2100645 /C154f09b94-18dd-486b-9172-8fa22463bd87.pdf</v>
      </c>
      <c r="AO1218" t="str">
        <f>HYPERLINK("https://transparencia.cidesi.mx/comprobantes/2021/CQ2100645 /C154f09b94-18dd-486b-9172-8fa22463bd87.xml")</f>
        <v>https://transparencia.cidesi.mx/comprobantes/2021/CQ2100645 /C154f09b94-18dd-486b-9172-8fa22463bd87.xml</v>
      </c>
      <c r="AP1218" t="s">
        <v>2303</v>
      </c>
      <c r="AQ1218" t="s">
        <v>2297</v>
      </c>
      <c r="AR1218" t="s">
        <v>2298</v>
      </c>
      <c r="AS1218" t="s">
        <v>2299</v>
      </c>
      <c r="AT1218" s="1">
        <v>44421</v>
      </c>
      <c r="AU1218" t="s">
        <v>73</v>
      </c>
    </row>
    <row r="1219" spans="1:47" x14ac:dyDescent="0.3">
      <c r="A1219" t="s">
        <v>246</v>
      </c>
      <c r="B1219" t="s">
        <v>48</v>
      </c>
      <c r="C1219" t="s">
        <v>338</v>
      </c>
      <c r="D1219">
        <v>100187</v>
      </c>
      <c r="E1219" t="s">
        <v>302</v>
      </c>
      <c r="F1219" t="s">
        <v>2291</v>
      </c>
      <c r="G1219" t="s">
        <v>303</v>
      </c>
      <c r="H1219" t="s">
        <v>2300</v>
      </c>
      <c r="I1219" t="s">
        <v>54</v>
      </c>
      <c r="J1219" t="s">
        <v>2301</v>
      </c>
      <c r="K1219" t="s">
        <v>56</v>
      </c>
      <c r="L1219">
        <v>0</v>
      </c>
      <c r="M1219" t="s">
        <v>73</v>
      </c>
      <c r="N1219">
        <v>0</v>
      </c>
      <c r="O1219" t="s">
        <v>58</v>
      </c>
      <c r="P1219" t="s">
        <v>59</v>
      </c>
      <c r="Q1219" t="s">
        <v>1432</v>
      </c>
      <c r="R1219" t="s">
        <v>2301</v>
      </c>
      <c r="S1219" s="1">
        <v>44414</v>
      </c>
      <c r="T1219" s="1">
        <v>44415</v>
      </c>
      <c r="U1219">
        <v>37501</v>
      </c>
      <c r="V1219" t="s">
        <v>61</v>
      </c>
      <c r="W1219" t="s">
        <v>2302</v>
      </c>
      <c r="X1219" s="1">
        <v>44421</v>
      </c>
      <c r="Y1219" t="s">
        <v>207</v>
      </c>
      <c r="Z1219">
        <v>174.58</v>
      </c>
      <c r="AA1219">
        <v>16</v>
      </c>
      <c r="AB1219">
        <v>12.42</v>
      </c>
      <c r="AC1219">
        <v>0</v>
      </c>
      <c r="AD1219">
        <v>187</v>
      </c>
      <c r="AE1219">
        <v>1203</v>
      </c>
      <c r="AF1219">
        <v>1636</v>
      </c>
      <c r="AG1219" t="s">
        <v>2295</v>
      </c>
      <c r="AH1219" t="s">
        <v>65</v>
      </c>
      <c r="AI1219" t="s">
        <v>65</v>
      </c>
      <c r="AJ1219" t="s">
        <v>66</v>
      </c>
      <c r="AK1219" t="s">
        <v>66</v>
      </c>
      <c r="AL1219" t="s">
        <v>66</v>
      </c>
      <c r="AM1219" s="2" t="str">
        <f>HYPERLINK("https://transparencia.cidesi.mx/comprobantes/2021/CQ2100645 /C2FACTURA_1628604734662_340432067.pdf")</f>
        <v>https://transparencia.cidesi.mx/comprobantes/2021/CQ2100645 /C2FACTURA_1628604734662_340432067.pdf</v>
      </c>
      <c r="AN1219" t="str">
        <f>HYPERLINK("https://transparencia.cidesi.mx/comprobantes/2021/CQ2100645 /C2FACTURA_1628604734662_340432067.pdf")</f>
        <v>https://transparencia.cidesi.mx/comprobantes/2021/CQ2100645 /C2FACTURA_1628604734662_340432067.pdf</v>
      </c>
      <c r="AO1219" t="str">
        <f>HYPERLINK("https://transparencia.cidesi.mx/comprobantes/2021/CQ2100645 /C2FACTURA_1628604760933_340432067.xml")</f>
        <v>https://transparencia.cidesi.mx/comprobantes/2021/CQ2100645 /C2FACTURA_1628604760933_340432067.xml</v>
      </c>
      <c r="AP1219" t="s">
        <v>2303</v>
      </c>
      <c r="AQ1219" t="s">
        <v>2297</v>
      </c>
      <c r="AR1219" t="s">
        <v>2298</v>
      </c>
      <c r="AS1219" t="s">
        <v>2299</v>
      </c>
      <c r="AT1219" s="1">
        <v>44421</v>
      </c>
      <c r="AU1219" t="s">
        <v>73</v>
      </c>
    </row>
    <row r="1220" spans="1:47" x14ac:dyDescent="0.3">
      <c r="A1220" t="s">
        <v>246</v>
      </c>
      <c r="B1220" t="s">
        <v>48</v>
      </c>
      <c r="C1220" t="s">
        <v>338</v>
      </c>
      <c r="D1220">
        <v>100187</v>
      </c>
      <c r="E1220" t="s">
        <v>302</v>
      </c>
      <c r="F1220" t="s">
        <v>2291</v>
      </c>
      <c r="G1220" t="s">
        <v>303</v>
      </c>
      <c r="H1220" t="s">
        <v>2300</v>
      </c>
      <c r="I1220" t="s">
        <v>54</v>
      </c>
      <c r="J1220" t="s">
        <v>2301</v>
      </c>
      <c r="K1220" t="s">
        <v>56</v>
      </c>
      <c r="L1220">
        <v>0</v>
      </c>
      <c r="M1220" t="s">
        <v>73</v>
      </c>
      <c r="N1220">
        <v>0</v>
      </c>
      <c r="O1220" t="s">
        <v>58</v>
      </c>
      <c r="P1220" t="s">
        <v>59</v>
      </c>
      <c r="Q1220" t="s">
        <v>1432</v>
      </c>
      <c r="R1220" t="s">
        <v>2301</v>
      </c>
      <c r="S1220" s="1">
        <v>44414</v>
      </c>
      <c r="T1220" s="1">
        <v>44415</v>
      </c>
      <c r="U1220">
        <v>37501</v>
      </c>
      <c r="V1220" t="s">
        <v>61</v>
      </c>
      <c r="W1220" t="s">
        <v>2302</v>
      </c>
      <c r="X1220" s="1">
        <v>44421</v>
      </c>
      <c r="Y1220" t="s">
        <v>207</v>
      </c>
      <c r="Z1220">
        <v>327.58999999999997</v>
      </c>
      <c r="AA1220">
        <v>16</v>
      </c>
      <c r="AB1220">
        <v>52.41</v>
      </c>
      <c r="AC1220">
        <v>0</v>
      </c>
      <c r="AD1220">
        <v>380</v>
      </c>
      <c r="AE1220">
        <v>1203</v>
      </c>
      <c r="AF1220">
        <v>1636</v>
      </c>
      <c r="AG1220" t="s">
        <v>2295</v>
      </c>
      <c r="AH1220" t="s">
        <v>65</v>
      </c>
      <c r="AI1220" t="s">
        <v>65</v>
      </c>
      <c r="AJ1220" t="s">
        <v>66</v>
      </c>
      <c r="AK1220" t="s">
        <v>66</v>
      </c>
      <c r="AL1220" t="s">
        <v>66</v>
      </c>
      <c r="AM1220" s="2" t="str">
        <f>HYPERLINK("https://transparencia.cidesi.mx/comprobantes/2021/CQ2100645 /C3HICM621228U69FFIR14310.pdf")</f>
        <v>https://transparencia.cidesi.mx/comprobantes/2021/CQ2100645 /C3HICM621228U69FFIR14310.pdf</v>
      </c>
      <c r="AN1220" t="str">
        <f>HYPERLINK("https://transparencia.cidesi.mx/comprobantes/2021/CQ2100645 /C3HICM621228U69FFIR14310.pdf")</f>
        <v>https://transparencia.cidesi.mx/comprobantes/2021/CQ2100645 /C3HICM621228U69FFIR14310.pdf</v>
      </c>
      <c r="AO1220" t="str">
        <f>HYPERLINK("https://transparencia.cidesi.mx/comprobantes/2021/CQ2100645 /C3HICM621228U69FFIR14310.xml")</f>
        <v>https://transparencia.cidesi.mx/comprobantes/2021/CQ2100645 /C3HICM621228U69FFIR14310.xml</v>
      </c>
      <c r="AP1220" t="s">
        <v>2303</v>
      </c>
      <c r="AQ1220" t="s">
        <v>2297</v>
      </c>
      <c r="AR1220" t="s">
        <v>2298</v>
      </c>
      <c r="AS1220" t="s">
        <v>2299</v>
      </c>
      <c r="AT1220" s="1">
        <v>44421</v>
      </c>
      <c r="AU1220" t="s">
        <v>73</v>
      </c>
    </row>
    <row r="1221" spans="1:47" x14ac:dyDescent="0.3">
      <c r="A1221" t="s">
        <v>246</v>
      </c>
      <c r="B1221" t="s">
        <v>48</v>
      </c>
      <c r="C1221" t="s">
        <v>338</v>
      </c>
      <c r="D1221">
        <v>100187</v>
      </c>
      <c r="E1221" t="s">
        <v>302</v>
      </c>
      <c r="F1221" t="s">
        <v>2291</v>
      </c>
      <c r="G1221" t="s">
        <v>303</v>
      </c>
      <c r="H1221" t="s">
        <v>2300</v>
      </c>
      <c r="I1221" t="s">
        <v>54</v>
      </c>
      <c r="J1221" t="s">
        <v>2301</v>
      </c>
      <c r="K1221" t="s">
        <v>56</v>
      </c>
      <c r="L1221">
        <v>0</v>
      </c>
      <c r="M1221" t="s">
        <v>73</v>
      </c>
      <c r="N1221">
        <v>0</v>
      </c>
      <c r="O1221" t="s">
        <v>58</v>
      </c>
      <c r="P1221" t="s">
        <v>59</v>
      </c>
      <c r="Q1221" t="s">
        <v>1432</v>
      </c>
      <c r="R1221" t="s">
        <v>2301</v>
      </c>
      <c r="S1221" s="1">
        <v>44414</v>
      </c>
      <c r="T1221" s="1">
        <v>44415</v>
      </c>
      <c r="U1221">
        <v>37501</v>
      </c>
      <c r="V1221" t="s">
        <v>61</v>
      </c>
      <c r="W1221" t="s">
        <v>2302</v>
      </c>
      <c r="X1221" s="1">
        <v>44421</v>
      </c>
      <c r="Y1221" t="s">
        <v>207</v>
      </c>
      <c r="Z1221">
        <v>270.69</v>
      </c>
      <c r="AA1221">
        <v>16</v>
      </c>
      <c r="AB1221">
        <v>43.31</v>
      </c>
      <c r="AC1221">
        <v>0</v>
      </c>
      <c r="AD1221">
        <v>314</v>
      </c>
      <c r="AE1221">
        <v>1203</v>
      </c>
      <c r="AF1221">
        <v>1636</v>
      </c>
      <c r="AG1221" t="s">
        <v>2295</v>
      </c>
      <c r="AH1221" t="s">
        <v>65</v>
      </c>
      <c r="AI1221" t="s">
        <v>65</v>
      </c>
      <c r="AJ1221" t="s">
        <v>66</v>
      </c>
      <c r="AK1221" t="s">
        <v>66</v>
      </c>
      <c r="AL1221" t="s">
        <v>66</v>
      </c>
      <c r="AM1221" s="2" t="str">
        <f>HYPERLINK("https://transparencia.cidesi.mx/comprobantes/2021/CQ2100645 /C4faci33.pdf")</f>
        <v>https://transparencia.cidesi.mx/comprobantes/2021/CQ2100645 /C4faci33.pdf</v>
      </c>
      <c r="AN1221" t="str">
        <f>HYPERLINK("https://transparencia.cidesi.mx/comprobantes/2021/CQ2100645 /C4faci33.pdf")</f>
        <v>https://transparencia.cidesi.mx/comprobantes/2021/CQ2100645 /C4faci33.pdf</v>
      </c>
      <c r="AO1221" t="str">
        <f>HYPERLINK("https://transparencia.cidesi.mx/comprobantes/2021/CQ2100645 /C4faci33.xml")</f>
        <v>https://transparencia.cidesi.mx/comprobantes/2021/CQ2100645 /C4faci33.xml</v>
      </c>
      <c r="AP1221" t="s">
        <v>2303</v>
      </c>
      <c r="AQ1221" t="s">
        <v>2297</v>
      </c>
      <c r="AR1221" t="s">
        <v>2298</v>
      </c>
      <c r="AS1221" t="s">
        <v>2299</v>
      </c>
      <c r="AT1221" s="1">
        <v>44421</v>
      </c>
      <c r="AU1221" t="s">
        <v>73</v>
      </c>
    </row>
    <row r="1222" spans="1:47" x14ac:dyDescent="0.3">
      <c r="A1222" t="s">
        <v>246</v>
      </c>
      <c r="B1222" t="s">
        <v>48</v>
      </c>
      <c r="C1222" t="s">
        <v>338</v>
      </c>
      <c r="D1222">
        <v>100187</v>
      </c>
      <c r="E1222" t="s">
        <v>302</v>
      </c>
      <c r="F1222" t="s">
        <v>2291</v>
      </c>
      <c r="G1222" t="s">
        <v>303</v>
      </c>
      <c r="H1222" t="s">
        <v>2304</v>
      </c>
      <c r="I1222" t="s">
        <v>54</v>
      </c>
      <c r="J1222" t="s">
        <v>2305</v>
      </c>
      <c r="K1222" t="s">
        <v>56</v>
      </c>
      <c r="L1222">
        <v>0</v>
      </c>
      <c r="M1222" t="s">
        <v>73</v>
      </c>
      <c r="N1222">
        <v>0</v>
      </c>
      <c r="O1222" t="s">
        <v>58</v>
      </c>
      <c r="P1222" t="s">
        <v>59</v>
      </c>
      <c r="Q1222" t="s">
        <v>1432</v>
      </c>
      <c r="R1222" t="s">
        <v>2305</v>
      </c>
      <c r="S1222" s="1">
        <v>44420</v>
      </c>
      <c r="T1222" s="1">
        <v>44420</v>
      </c>
      <c r="U1222">
        <v>37501</v>
      </c>
      <c r="V1222" t="s">
        <v>61</v>
      </c>
      <c r="W1222" t="s">
        <v>2306</v>
      </c>
      <c r="X1222" s="1">
        <v>44426</v>
      </c>
      <c r="Y1222" t="s">
        <v>207</v>
      </c>
      <c r="Z1222">
        <v>239.66</v>
      </c>
      <c r="AA1222">
        <v>16</v>
      </c>
      <c r="AB1222">
        <v>38.340000000000003</v>
      </c>
      <c r="AC1222">
        <v>0</v>
      </c>
      <c r="AD1222">
        <v>278</v>
      </c>
      <c r="AE1222">
        <v>535</v>
      </c>
      <c r="AF1222">
        <v>545</v>
      </c>
      <c r="AG1222" t="s">
        <v>2295</v>
      </c>
      <c r="AH1222" t="s">
        <v>65</v>
      </c>
      <c r="AI1222" t="s">
        <v>65</v>
      </c>
      <c r="AJ1222" t="s">
        <v>66</v>
      </c>
      <c r="AK1222" t="s">
        <v>66</v>
      </c>
      <c r="AL1222" t="s">
        <v>66</v>
      </c>
      <c r="AM1222" s="2" t="str">
        <f>HYPERLINK("https://transparencia.cidesi.mx/comprobantes/2021/CQ2100665 /C1S4127-0024-5279.pdf")</f>
        <v>https://transparencia.cidesi.mx/comprobantes/2021/CQ2100665 /C1S4127-0024-5279.pdf</v>
      </c>
      <c r="AN1222" t="str">
        <f>HYPERLINK("https://transparencia.cidesi.mx/comprobantes/2021/CQ2100665 /C1S4127-0024-5279.pdf")</f>
        <v>https://transparencia.cidesi.mx/comprobantes/2021/CQ2100665 /C1S4127-0024-5279.pdf</v>
      </c>
      <c r="AO1222" t="str">
        <f>HYPERLINK("https://transparencia.cidesi.mx/comprobantes/2021/CQ2100665 /C1S4127-0024-5279.xml")</f>
        <v>https://transparencia.cidesi.mx/comprobantes/2021/CQ2100665 /C1S4127-0024-5279.xml</v>
      </c>
      <c r="AP1222" t="s">
        <v>2303</v>
      </c>
      <c r="AQ1222" t="s">
        <v>2307</v>
      </c>
      <c r="AR1222" t="s">
        <v>2298</v>
      </c>
      <c r="AS1222" t="s">
        <v>2299</v>
      </c>
      <c r="AT1222" s="1">
        <v>44427</v>
      </c>
      <c r="AU1222" t="s">
        <v>73</v>
      </c>
    </row>
    <row r="1223" spans="1:47" x14ac:dyDescent="0.3">
      <c r="A1223" t="s">
        <v>246</v>
      </c>
      <c r="B1223" t="s">
        <v>48</v>
      </c>
      <c r="C1223" t="s">
        <v>338</v>
      </c>
      <c r="D1223">
        <v>100187</v>
      </c>
      <c r="E1223" t="s">
        <v>302</v>
      </c>
      <c r="F1223" t="s">
        <v>2291</v>
      </c>
      <c r="G1223" t="s">
        <v>303</v>
      </c>
      <c r="H1223" t="s">
        <v>2304</v>
      </c>
      <c r="I1223" t="s">
        <v>54</v>
      </c>
      <c r="J1223" t="s">
        <v>2305</v>
      </c>
      <c r="K1223" t="s">
        <v>56</v>
      </c>
      <c r="L1223">
        <v>0</v>
      </c>
      <c r="M1223" t="s">
        <v>73</v>
      </c>
      <c r="N1223">
        <v>0</v>
      </c>
      <c r="O1223" t="s">
        <v>58</v>
      </c>
      <c r="P1223" t="s">
        <v>59</v>
      </c>
      <c r="Q1223" t="s">
        <v>1432</v>
      </c>
      <c r="R1223" t="s">
        <v>2305</v>
      </c>
      <c r="S1223" s="1">
        <v>44420</v>
      </c>
      <c r="T1223" s="1">
        <v>44420</v>
      </c>
      <c r="U1223">
        <v>37501</v>
      </c>
      <c r="V1223" t="s">
        <v>61</v>
      </c>
      <c r="W1223" t="s">
        <v>2306</v>
      </c>
      <c r="X1223" s="1">
        <v>44426</v>
      </c>
      <c r="Y1223" t="s">
        <v>207</v>
      </c>
      <c r="Z1223">
        <v>221.55</v>
      </c>
      <c r="AA1223">
        <v>16</v>
      </c>
      <c r="AB1223">
        <v>35.450000000000003</v>
      </c>
      <c r="AC1223">
        <v>0</v>
      </c>
      <c r="AD1223">
        <v>257</v>
      </c>
      <c r="AE1223">
        <v>535</v>
      </c>
      <c r="AF1223">
        <v>545</v>
      </c>
      <c r="AG1223" t="s">
        <v>2295</v>
      </c>
      <c r="AH1223" t="s">
        <v>65</v>
      </c>
      <c r="AI1223" t="s">
        <v>65</v>
      </c>
      <c r="AJ1223" t="s">
        <v>66</v>
      </c>
      <c r="AK1223" t="s">
        <v>66</v>
      </c>
      <c r="AL1223" t="s">
        <v>66</v>
      </c>
      <c r="AM1223" s="2" t="str">
        <f>HYPERLINK("https://transparencia.cidesi.mx/comprobantes/2021/CQ2100665 /C22257997_FA-016951.pdf")</f>
        <v>https://transparencia.cidesi.mx/comprobantes/2021/CQ2100665 /C22257997_FA-016951.pdf</v>
      </c>
      <c r="AN1223" t="str">
        <f>HYPERLINK("https://transparencia.cidesi.mx/comprobantes/2021/CQ2100665 /C22257997_FA-016951.pdf")</f>
        <v>https://transparencia.cidesi.mx/comprobantes/2021/CQ2100665 /C22257997_FA-016951.pdf</v>
      </c>
      <c r="AO1223" t="str">
        <f>HYPERLINK("https://transparencia.cidesi.mx/comprobantes/2021/CQ2100665 /C22257997_FA-016951.xml")</f>
        <v>https://transparencia.cidesi.mx/comprobantes/2021/CQ2100665 /C22257997_FA-016951.xml</v>
      </c>
      <c r="AP1223" t="s">
        <v>2303</v>
      </c>
      <c r="AQ1223" t="s">
        <v>2307</v>
      </c>
      <c r="AR1223" t="s">
        <v>2298</v>
      </c>
      <c r="AS1223" t="s">
        <v>2299</v>
      </c>
      <c r="AT1223" s="1">
        <v>44427</v>
      </c>
      <c r="AU1223" t="s">
        <v>73</v>
      </c>
    </row>
    <row r="1224" spans="1:47" x14ac:dyDescent="0.3">
      <c r="A1224" t="s">
        <v>2308</v>
      </c>
      <c r="B1224" t="s">
        <v>2309</v>
      </c>
      <c r="C1224" t="s">
        <v>2309</v>
      </c>
      <c r="D1224">
        <v>100210</v>
      </c>
      <c r="E1224" t="s">
        <v>2310</v>
      </c>
      <c r="F1224" t="s">
        <v>2311</v>
      </c>
      <c r="G1224" t="s">
        <v>2312</v>
      </c>
      <c r="H1224" t="s">
        <v>2313</v>
      </c>
      <c r="I1224" t="s">
        <v>54</v>
      </c>
      <c r="J1224" t="s">
        <v>2314</v>
      </c>
      <c r="K1224" t="s">
        <v>56</v>
      </c>
      <c r="L1224">
        <v>0</v>
      </c>
      <c r="M1224" t="s">
        <v>73</v>
      </c>
      <c r="N1224">
        <v>0</v>
      </c>
      <c r="O1224" t="s">
        <v>58</v>
      </c>
      <c r="P1224" t="s">
        <v>59</v>
      </c>
      <c r="Q1224" t="s">
        <v>2315</v>
      </c>
      <c r="R1224" t="s">
        <v>2314</v>
      </c>
      <c r="S1224" s="1">
        <v>44392</v>
      </c>
      <c r="T1224" s="1">
        <v>44392</v>
      </c>
      <c r="U1224">
        <v>37501</v>
      </c>
      <c r="V1224" t="s">
        <v>61</v>
      </c>
      <c r="W1224" t="s">
        <v>2316</v>
      </c>
      <c r="X1224" s="1">
        <v>44397</v>
      </c>
      <c r="Y1224" t="s">
        <v>63</v>
      </c>
      <c r="Z1224">
        <v>250.31</v>
      </c>
      <c r="AA1224">
        <v>16</v>
      </c>
      <c r="AB1224">
        <v>17.690000000000001</v>
      </c>
      <c r="AC1224">
        <v>0</v>
      </c>
      <c r="AD1224">
        <v>268</v>
      </c>
      <c r="AE1224">
        <v>741</v>
      </c>
      <c r="AF1224">
        <v>1034</v>
      </c>
      <c r="AG1224" t="s">
        <v>2317</v>
      </c>
      <c r="AH1224" t="s">
        <v>65</v>
      </c>
      <c r="AI1224" t="s">
        <v>65</v>
      </c>
      <c r="AJ1224" t="s">
        <v>66</v>
      </c>
      <c r="AK1224" t="s">
        <v>66</v>
      </c>
      <c r="AL1224" t="s">
        <v>66</v>
      </c>
      <c r="AM1224" s="2" t="str">
        <f>HYPERLINK("https://transparencia.cidesi.mx/comprobantes/2021/CQ2100536 /C1RPM170315DQ5 POR-T - 11116-DISTRITO PDF.pdf")</f>
        <v>https://transparencia.cidesi.mx/comprobantes/2021/CQ2100536 /C1RPM170315DQ5 POR-T - 11116-DISTRITO PDF.pdf</v>
      </c>
      <c r="AN1224" t="str">
        <f>HYPERLINK("https://transparencia.cidesi.mx/comprobantes/2021/CQ2100536 /C1RPM170315DQ5 POR-T - 11116-DISTRITO PDF.pdf")</f>
        <v>https://transparencia.cidesi.mx/comprobantes/2021/CQ2100536 /C1RPM170315DQ5 POR-T - 11116-DISTRITO PDF.pdf</v>
      </c>
      <c r="AO1224" t="str">
        <f>HYPERLINK("https://transparencia.cidesi.mx/comprobantes/2021/CQ2100536 /C1RPM170315DQ5 POR-T - 11116-DISTRITO XML.xml")</f>
        <v>https://transparencia.cidesi.mx/comprobantes/2021/CQ2100536 /C1RPM170315DQ5 POR-T - 11116-DISTRITO XML.xml</v>
      </c>
      <c r="AP1224" t="s">
        <v>2314</v>
      </c>
      <c r="AQ1224" t="s">
        <v>2318</v>
      </c>
      <c r="AR1224" t="s">
        <v>2319</v>
      </c>
      <c r="AS1224" t="s">
        <v>2320</v>
      </c>
      <c r="AT1224" s="1">
        <v>44398</v>
      </c>
      <c r="AU1224" s="1">
        <v>44438</v>
      </c>
    </row>
    <row r="1225" spans="1:47" x14ac:dyDescent="0.3">
      <c r="A1225" t="s">
        <v>2308</v>
      </c>
      <c r="B1225" t="s">
        <v>2309</v>
      </c>
      <c r="C1225" t="s">
        <v>2309</v>
      </c>
      <c r="D1225">
        <v>100210</v>
      </c>
      <c r="E1225" t="s">
        <v>2310</v>
      </c>
      <c r="F1225" t="s">
        <v>2311</v>
      </c>
      <c r="G1225" t="s">
        <v>2312</v>
      </c>
      <c r="H1225" t="s">
        <v>2313</v>
      </c>
      <c r="I1225" t="s">
        <v>54</v>
      </c>
      <c r="J1225" t="s">
        <v>2314</v>
      </c>
      <c r="K1225" t="s">
        <v>56</v>
      </c>
      <c r="L1225">
        <v>0</v>
      </c>
      <c r="M1225" t="s">
        <v>73</v>
      </c>
      <c r="N1225">
        <v>0</v>
      </c>
      <c r="O1225" t="s">
        <v>58</v>
      </c>
      <c r="P1225" t="s">
        <v>59</v>
      </c>
      <c r="Q1225" t="s">
        <v>2315</v>
      </c>
      <c r="R1225" t="s">
        <v>2314</v>
      </c>
      <c r="S1225" s="1">
        <v>44392</v>
      </c>
      <c r="T1225" s="1">
        <v>44392</v>
      </c>
      <c r="U1225">
        <v>37501</v>
      </c>
      <c r="V1225" t="s">
        <v>1009</v>
      </c>
      <c r="W1225" t="s">
        <v>2316</v>
      </c>
      <c r="X1225" s="1">
        <v>44397</v>
      </c>
      <c r="Y1225" t="s">
        <v>63</v>
      </c>
      <c r="Z1225">
        <v>28</v>
      </c>
      <c r="AA1225">
        <v>0</v>
      </c>
      <c r="AB1225">
        <v>0</v>
      </c>
      <c r="AC1225">
        <v>0</v>
      </c>
      <c r="AD1225">
        <v>28</v>
      </c>
      <c r="AE1225">
        <v>741</v>
      </c>
      <c r="AF1225">
        <v>1034</v>
      </c>
      <c r="AG1225" t="s">
        <v>2321</v>
      </c>
      <c r="AH1225" t="s">
        <v>66</v>
      </c>
      <c r="AI1225" t="s">
        <v>66</v>
      </c>
      <c r="AJ1225" t="s">
        <v>66</v>
      </c>
      <c r="AK1225" t="s">
        <v>65</v>
      </c>
      <c r="AL1225" t="s">
        <v>66</v>
      </c>
      <c r="AM1225" s="2" t="s">
        <v>73</v>
      </c>
      <c r="AN1225" t="s">
        <v>73</v>
      </c>
      <c r="AO1225" t="s">
        <v>73</v>
      </c>
      <c r="AP1225" t="s">
        <v>2314</v>
      </c>
      <c r="AQ1225" t="s">
        <v>2318</v>
      </c>
      <c r="AR1225" t="s">
        <v>2319</v>
      </c>
      <c r="AS1225" t="s">
        <v>2320</v>
      </c>
      <c r="AT1225" s="1">
        <v>44398</v>
      </c>
      <c r="AU1225" s="1">
        <v>44438</v>
      </c>
    </row>
    <row r="1226" spans="1:47" x14ac:dyDescent="0.3">
      <c r="A1226" t="s">
        <v>2308</v>
      </c>
      <c r="B1226" t="s">
        <v>2309</v>
      </c>
      <c r="C1226" t="s">
        <v>2309</v>
      </c>
      <c r="D1226">
        <v>100210</v>
      </c>
      <c r="E1226" t="s">
        <v>2310</v>
      </c>
      <c r="F1226" t="s">
        <v>2311</v>
      </c>
      <c r="G1226" t="s">
        <v>2312</v>
      </c>
      <c r="H1226" t="s">
        <v>2313</v>
      </c>
      <c r="I1226" t="s">
        <v>54</v>
      </c>
      <c r="J1226" t="s">
        <v>2314</v>
      </c>
      <c r="K1226" t="s">
        <v>56</v>
      </c>
      <c r="L1226">
        <v>0</v>
      </c>
      <c r="M1226" t="s">
        <v>73</v>
      </c>
      <c r="N1226">
        <v>0</v>
      </c>
      <c r="O1226" t="s">
        <v>58</v>
      </c>
      <c r="P1226" t="s">
        <v>59</v>
      </c>
      <c r="Q1226" t="s">
        <v>2315</v>
      </c>
      <c r="R1226" t="s">
        <v>2314</v>
      </c>
      <c r="S1226" s="1">
        <v>44392</v>
      </c>
      <c r="T1226" s="1">
        <v>44392</v>
      </c>
      <c r="U1226">
        <v>37501</v>
      </c>
      <c r="V1226" t="s">
        <v>61</v>
      </c>
      <c r="W1226" t="s">
        <v>2316</v>
      </c>
      <c r="X1226" s="1">
        <v>44397</v>
      </c>
      <c r="Y1226" t="s">
        <v>63</v>
      </c>
      <c r="Z1226">
        <v>329.31</v>
      </c>
      <c r="AA1226">
        <v>16</v>
      </c>
      <c r="AB1226">
        <v>52.69</v>
      </c>
      <c r="AC1226">
        <v>38</v>
      </c>
      <c r="AD1226">
        <v>420</v>
      </c>
      <c r="AE1226">
        <v>741</v>
      </c>
      <c r="AF1226">
        <v>1034</v>
      </c>
      <c r="AG1226" t="s">
        <v>2317</v>
      </c>
      <c r="AH1226" t="s">
        <v>65</v>
      </c>
      <c r="AI1226" t="s">
        <v>65</v>
      </c>
      <c r="AJ1226" t="s">
        <v>66</v>
      </c>
      <c r="AK1226" t="s">
        <v>66</v>
      </c>
      <c r="AL1226" t="s">
        <v>66</v>
      </c>
      <c r="AM1226" s="2" t="str">
        <f>HYPERLINK("https://transparencia.cidesi.mx/comprobantes/2021/CQ2100536 /C369189225-la finca.pdf")</f>
        <v>https://transparencia.cidesi.mx/comprobantes/2021/CQ2100536 /C369189225-la finca.pdf</v>
      </c>
      <c r="AN1226" t="str">
        <f>HYPERLINK("https://transparencia.cidesi.mx/comprobantes/2021/CQ2100536 /C369189225-la finca.pdf")</f>
        <v>https://transparencia.cidesi.mx/comprobantes/2021/CQ2100536 /C369189225-la finca.pdf</v>
      </c>
      <c r="AO1226" t="str">
        <f>HYPERLINK("https://transparencia.cidesi.mx/comprobantes/2021/CQ2100536 /C369189225-la finca-xml.xml")</f>
        <v>https://transparencia.cidesi.mx/comprobantes/2021/CQ2100536 /C369189225-la finca-xml.xml</v>
      </c>
      <c r="AP1226" t="s">
        <v>2314</v>
      </c>
      <c r="AQ1226" t="s">
        <v>2318</v>
      </c>
      <c r="AR1226" t="s">
        <v>2319</v>
      </c>
      <c r="AS1226" t="s">
        <v>2320</v>
      </c>
      <c r="AT1226" s="1">
        <v>44398</v>
      </c>
      <c r="AU1226" s="1">
        <v>44438</v>
      </c>
    </row>
    <row r="1227" spans="1:47" x14ac:dyDescent="0.3">
      <c r="A1227" t="s">
        <v>2308</v>
      </c>
      <c r="B1227" t="s">
        <v>2309</v>
      </c>
      <c r="C1227" t="s">
        <v>2309</v>
      </c>
      <c r="D1227">
        <v>100210</v>
      </c>
      <c r="E1227" t="s">
        <v>2310</v>
      </c>
      <c r="F1227" t="s">
        <v>2311</v>
      </c>
      <c r="G1227" t="s">
        <v>2312</v>
      </c>
      <c r="H1227" t="s">
        <v>2313</v>
      </c>
      <c r="I1227" t="s">
        <v>54</v>
      </c>
      <c r="J1227" t="s">
        <v>2314</v>
      </c>
      <c r="K1227" t="s">
        <v>56</v>
      </c>
      <c r="L1227">
        <v>0</v>
      </c>
      <c r="M1227" t="s">
        <v>73</v>
      </c>
      <c r="N1227">
        <v>0</v>
      </c>
      <c r="O1227" t="s">
        <v>58</v>
      </c>
      <c r="P1227" t="s">
        <v>59</v>
      </c>
      <c r="Q1227" t="s">
        <v>2315</v>
      </c>
      <c r="R1227" t="s">
        <v>2314</v>
      </c>
      <c r="S1227" s="1">
        <v>44392</v>
      </c>
      <c r="T1227" s="1">
        <v>44392</v>
      </c>
      <c r="U1227">
        <v>37501</v>
      </c>
      <c r="V1227" t="s">
        <v>2322</v>
      </c>
      <c r="W1227" t="s">
        <v>2316</v>
      </c>
      <c r="X1227" s="1">
        <v>44397</v>
      </c>
      <c r="Y1227" t="s">
        <v>63</v>
      </c>
      <c r="Z1227">
        <v>25</v>
      </c>
      <c r="AA1227">
        <v>0</v>
      </c>
      <c r="AB1227">
        <v>0</v>
      </c>
      <c r="AC1227">
        <v>0</v>
      </c>
      <c r="AD1227">
        <v>25</v>
      </c>
      <c r="AE1227">
        <v>741</v>
      </c>
      <c r="AF1227">
        <v>1034</v>
      </c>
      <c r="AG1227" t="s">
        <v>2323</v>
      </c>
      <c r="AH1227" t="s">
        <v>66</v>
      </c>
      <c r="AI1227" t="s">
        <v>66</v>
      </c>
      <c r="AJ1227" t="s">
        <v>66</v>
      </c>
      <c r="AK1227" t="s">
        <v>65</v>
      </c>
      <c r="AL1227" t="s">
        <v>66</v>
      </c>
      <c r="AM1227" s="2" t="s">
        <v>73</v>
      </c>
      <c r="AN1227" t="s">
        <v>73</v>
      </c>
      <c r="AO1227" t="s">
        <v>73</v>
      </c>
      <c r="AP1227" t="s">
        <v>2314</v>
      </c>
      <c r="AQ1227" t="s">
        <v>2318</v>
      </c>
      <c r="AR1227" t="s">
        <v>2319</v>
      </c>
      <c r="AS1227" t="s">
        <v>2320</v>
      </c>
      <c r="AT1227" s="1">
        <v>44398</v>
      </c>
      <c r="AU1227" s="1">
        <v>44438</v>
      </c>
    </row>
    <row r="1228" spans="1:47" x14ac:dyDescent="0.3">
      <c r="A1228" t="s">
        <v>2308</v>
      </c>
      <c r="B1228" t="s">
        <v>2309</v>
      </c>
      <c r="C1228" t="s">
        <v>2309</v>
      </c>
      <c r="D1228">
        <v>100210</v>
      </c>
      <c r="E1228" t="s">
        <v>2310</v>
      </c>
      <c r="F1228" t="s">
        <v>2311</v>
      </c>
      <c r="G1228" t="s">
        <v>2312</v>
      </c>
      <c r="H1228" t="s">
        <v>2324</v>
      </c>
      <c r="I1228" t="s">
        <v>54</v>
      </c>
      <c r="J1228" t="s">
        <v>2325</v>
      </c>
      <c r="K1228" t="s">
        <v>56</v>
      </c>
      <c r="L1228">
        <v>0</v>
      </c>
      <c r="M1228" t="s">
        <v>73</v>
      </c>
      <c r="N1228">
        <v>0</v>
      </c>
      <c r="O1228" t="s">
        <v>58</v>
      </c>
      <c r="P1228" t="s">
        <v>59</v>
      </c>
      <c r="Q1228" t="s">
        <v>60</v>
      </c>
      <c r="R1228" t="s">
        <v>2325</v>
      </c>
      <c r="S1228" s="1">
        <v>44428</v>
      </c>
      <c r="T1228" s="1">
        <v>44428</v>
      </c>
      <c r="U1228">
        <v>37501</v>
      </c>
      <c r="V1228" t="s">
        <v>61</v>
      </c>
      <c r="W1228" t="s">
        <v>2326</v>
      </c>
      <c r="X1228" s="1">
        <v>44434</v>
      </c>
      <c r="Y1228" t="s">
        <v>63</v>
      </c>
      <c r="Z1228">
        <v>338</v>
      </c>
      <c r="AA1228">
        <v>0</v>
      </c>
      <c r="AB1228">
        <v>0</v>
      </c>
      <c r="AC1228">
        <v>0</v>
      </c>
      <c r="AD1228">
        <v>338</v>
      </c>
      <c r="AE1228">
        <v>686</v>
      </c>
      <c r="AF1228">
        <v>1034</v>
      </c>
      <c r="AG1228" t="s">
        <v>2317</v>
      </c>
      <c r="AH1228" t="s">
        <v>65</v>
      </c>
      <c r="AI1228" t="s">
        <v>66</v>
      </c>
      <c r="AJ1228" t="s">
        <v>66</v>
      </c>
      <c r="AK1228" t="s">
        <v>66</v>
      </c>
      <c r="AL1228" t="s">
        <v>66</v>
      </c>
      <c r="AM1228" s="2" t="s">
        <v>73</v>
      </c>
      <c r="AN1228" t="s">
        <v>73</v>
      </c>
      <c r="AO1228" t="s">
        <v>73</v>
      </c>
      <c r="AP1228" t="s">
        <v>2325</v>
      </c>
      <c r="AQ1228" t="s">
        <v>2327</v>
      </c>
      <c r="AR1228" t="s">
        <v>2328</v>
      </c>
      <c r="AS1228" t="s">
        <v>2329</v>
      </c>
      <c r="AT1228" s="1">
        <v>44438</v>
      </c>
      <c r="AU1228" s="1">
        <v>44442</v>
      </c>
    </row>
    <row r="1229" spans="1:47" x14ac:dyDescent="0.3">
      <c r="A1229" t="s">
        <v>2308</v>
      </c>
      <c r="B1229" t="s">
        <v>2309</v>
      </c>
      <c r="C1229" t="s">
        <v>2309</v>
      </c>
      <c r="D1229">
        <v>100210</v>
      </c>
      <c r="E1229" t="s">
        <v>2310</v>
      </c>
      <c r="F1229" t="s">
        <v>2311</v>
      </c>
      <c r="G1229" t="s">
        <v>2312</v>
      </c>
      <c r="H1229" t="s">
        <v>2324</v>
      </c>
      <c r="I1229" t="s">
        <v>54</v>
      </c>
      <c r="J1229" t="s">
        <v>2325</v>
      </c>
      <c r="K1229" t="s">
        <v>56</v>
      </c>
      <c r="L1229">
        <v>0</v>
      </c>
      <c r="M1229" t="s">
        <v>73</v>
      </c>
      <c r="N1229">
        <v>0</v>
      </c>
      <c r="O1229" t="s">
        <v>58</v>
      </c>
      <c r="P1229" t="s">
        <v>59</v>
      </c>
      <c r="Q1229" t="s">
        <v>60</v>
      </c>
      <c r="R1229" t="s">
        <v>2325</v>
      </c>
      <c r="S1229" s="1">
        <v>44428</v>
      </c>
      <c r="T1229" s="1">
        <v>44428</v>
      </c>
      <c r="U1229">
        <v>37501</v>
      </c>
      <c r="V1229" t="s">
        <v>61</v>
      </c>
      <c r="W1229" t="s">
        <v>2326</v>
      </c>
      <c r="X1229" s="1">
        <v>44434</v>
      </c>
      <c r="Y1229" t="s">
        <v>63</v>
      </c>
      <c r="Z1229">
        <v>149</v>
      </c>
      <c r="AA1229">
        <v>0</v>
      </c>
      <c r="AB1229">
        <v>0</v>
      </c>
      <c r="AC1229">
        <v>0</v>
      </c>
      <c r="AD1229">
        <v>149</v>
      </c>
      <c r="AE1229">
        <v>686</v>
      </c>
      <c r="AF1229">
        <v>1034</v>
      </c>
      <c r="AG1229" t="s">
        <v>2317</v>
      </c>
      <c r="AH1229" t="s">
        <v>65</v>
      </c>
      <c r="AI1229" t="s">
        <v>66</v>
      </c>
      <c r="AJ1229" t="s">
        <v>66</v>
      </c>
      <c r="AK1229" t="s">
        <v>66</v>
      </c>
      <c r="AL1229" t="s">
        <v>66</v>
      </c>
      <c r="AM1229" s="2" t="s">
        <v>73</v>
      </c>
      <c r="AN1229" t="s">
        <v>73</v>
      </c>
      <c r="AO1229" t="s">
        <v>73</v>
      </c>
      <c r="AP1229" t="s">
        <v>2325</v>
      </c>
      <c r="AQ1229" t="s">
        <v>2327</v>
      </c>
      <c r="AR1229" t="s">
        <v>2328</v>
      </c>
      <c r="AS1229" t="s">
        <v>2329</v>
      </c>
      <c r="AT1229" s="1">
        <v>44438</v>
      </c>
      <c r="AU1229" s="1">
        <v>44442</v>
      </c>
    </row>
    <row r="1230" spans="1:47" x14ac:dyDescent="0.3">
      <c r="A1230" t="s">
        <v>2308</v>
      </c>
      <c r="B1230" t="s">
        <v>2309</v>
      </c>
      <c r="C1230" t="s">
        <v>2309</v>
      </c>
      <c r="D1230">
        <v>100210</v>
      </c>
      <c r="E1230" t="s">
        <v>2310</v>
      </c>
      <c r="F1230" t="s">
        <v>2311</v>
      </c>
      <c r="G1230" t="s">
        <v>2312</v>
      </c>
      <c r="H1230" t="s">
        <v>2324</v>
      </c>
      <c r="I1230" t="s">
        <v>54</v>
      </c>
      <c r="J1230" t="s">
        <v>2325</v>
      </c>
      <c r="K1230" t="s">
        <v>56</v>
      </c>
      <c r="L1230">
        <v>0</v>
      </c>
      <c r="M1230" t="s">
        <v>73</v>
      </c>
      <c r="N1230">
        <v>0</v>
      </c>
      <c r="O1230" t="s">
        <v>58</v>
      </c>
      <c r="P1230" t="s">
        <v>59</v>
      </c>
      <c r="Q1230" t="s">
        <v>60</v>
      </c>
      <c r="R1230" t="s">
        <v>2325</v>
      </c>
      <c r="S1230" s="1">
        <v>44428</v>
      </c>
      <c r="T1230" s="1">
        <v>44428</v>
      </c>
      <c r="U1230">
        <v>37501</v>
      </c>
      <c r="V1230" t="s">
        <v>61</v>
      </c>
      <c r="W1230" t="s">
        <v>2326</v>
      </c>
      <c r="X1230" s="1">
        <v>44434</v>
      </c>
      <c r="Y1230" t="s">
        <v>63</v>
      </c>
      <c r="Z1230">
        <v>150</v>
      </c>
      <c r="AA1230">
        <v>16</v>
      </c>
      <c r="AB1230">
        <v>24</v>
      </c>
      <c r="AC1230">
        <v>0</v>
      </c>
      <c r="AD1230">
        <v>174</v>
      </c>
      <c r="AE1230">
        <v>686</v>
      </c>
      <c r="AF1230">
        <v>1034</v>
      </c>
      <c r="AG1230" t="s">
        <v>2317</v>
      </c>
      <c r="AH1230" t="s">
        <v>65</v>
      </c>
      <c r="AI1230" t="s">
        <v>65</v>
      </c>
      <c r="AJ1230" t="s">
        <v>66</v>
      </c>
      <c r="AK1230" t="s">
        <v>66</v>
      </c>
      <c r="AL1230" t="s">
        <v>66</v>
      </c>
      <c r="AM1230" s="2" t="str">
        <f>HYPERLINK("https://transparencia.cidesi.mx/comprobantes/2021/CQ2100694 /C369815133-star bucks.pdf")</f>
        <v>https://transparencia.cidesi.mx/comprobantes/2021/CQ2100694 /C369815133-star bucks.pdf</v>
      </c>
      <c r="AN1230" t="str">
        <f>HYPERLINK("https://transparencia.cidesi.mx/comprobantes/2021/CQ2100694 /C369815133-star bucks.pdf")</f>
        <v>https://transparencia.cidesi.mx/comprobantes/2021/CQ2100694 /C369815133-star bucks.pdf</v>
      </c>
      <c r="AO1230" t="str">
        <f>HYPERLINK("https://transparencia.cidesi.mx/comprobantes/2021/CQ2100694 /C369815133-star bucks-1.xml")</f>
        <v>https://transparencia.cidesi.mx/comprobantes/2021/CQ2100694 /C369815133-star bucks-1.xml</v>
      </c>
      <c r="AP1230" t="s">
        <v>2325</v>
      </c>
      <c r="AQ1230" t="s">
        <v>2327</v>
      </c>
      <c r="AR1230" t="s">
        <v>2328</v>
      </c>
      <c r="AS1230" t="s">
        <v>2329</v>
      </c>
      <c r="AT1230" s="1">
        <v>44438</v>
      </c>
      <c r="AU1230" s="1">
        <v>44442</v>
      </c>
    </row>
    <row r="1231" spans="1:47" x14ac:dyDescent="0.3">
      <c r="A1231" t="s">
        <v>2308</v>
      </c>
      <c r="B1231" t="s">
        <v>2309</v>
      </c>
      <c r="C1231" t="s">
        <v>2309</v>
      </c>
      <c r="D1231">
        <v>100210</v>
      </c>
      <c r="E1231" t="s">
        <v>2310</v>
      </c>
      <c r="F1231" t="s">
        <v>2311</v>
      </c>
      <c r="G1231" t="s">
        <v>2312</v>
      </c>
      <c r="H1231" t="s">
        <v>2324</v>
      </c>
      <c r="I1231" t="s">
        <v>54</v>
      </c>
      <c r="J1231" t="s">
        <v>2325</v>
      </c>
      <c r="K1231" t="s">
        <v>56</v>
      </c>
      <c r="L1231">
        <v>0</v>
      </c>
      <c r="M1231" t="s">
        <v>73</v>
      </c>
      <c r="N1231">
        <v>0</v>
      </c>
      <c r="O1231" t="s">
        <v>58</v>
      </c>
      <c r="P1231" t="s">
        <v>59</v>
      </c>
      <c r="Q1231" t="s">
        <v>60</v>
      </c>
      <c r="R1231" t="s">
        <v>2325</v>
      </c>
      <c r="S1231" s="1">
        <v>44428</v>
      </c>
      <c r="T1231" s="1">
        <v>44428</v>
      </c>
      <c r="U1231">
        <v>37501</v>
      </c>
      <c r="V1231" t="s">
        <v>1009</v>
      </c>
      <c r="W1231" t="s">
        <v>2326</v>
      </c>
      <c r="X1231" s="1">
        <v>44434</v>
      </c>
      <c r="Y1231" t="s">
        <v>63</v>
      </c>
      <c r="Z1231">
        <v>25</v>
      </c>
      <c r="AA1231">
        <v>0</v>
      </c>
      <c r="AB1231">
        <v>0</v>
      </c>
      <c r="AC1231">
        <v>0</v>
      </c>
      <c r="AD1231">
        <v>25</v>
      </c>
      <c r="AE1231">
        <v>686</v>
      </c>
      <c r="AF1231">
        <v>1034</v>
      </c>
      <c r="AG1231" t="s">
        <v>2330</v>
      </c>
      <c r="AH1231" t="s">
        <v>66</v>
      </c>
      <c r="AI1231" t="s">
        <v>66</v>
      </c>
      <c r="AJ1231" t="s">
        <v>66</v>
      </c>
      <c r="AK1231" t="s">
        <v>66</v>
      </c>
      <c r="AL1231" t="s">
        <v>66</v>
      </c>
      <c r="AM1231" s="2" t="s">
        <v>73</v>
      </c>
      <c r="AN1231" t="s">
        <v>73</v>
      </c>
      <c r="AO1231" t="s">
        <v>73</v>
      </c>
      <c r="AP1231" t="s">
        <v>2325</v>
      </c>
      <c r="AQ1231" t="s">
        <v>2327</v>
      </c>
      <c r="AR1231" t="s">
        <v>2328</v>
      </c>
      <c r="AS1231" t="s">
        <v>2329</v>
      </c>
      <c r="AT1231" s="1">
        <v>44438</v>
      </c>
      <c r="AU1231" s="1">
        <v>44442</v>
      </c>
    </row>
    <row r="1232" spans="1:47" x14ac:dyDescent="0.3">
      <c r="A1232" t="s">
        <v>2308</v>
      </c>
      <c r="B1232" t="s">
        <v>2309</v>
      </c>
      <c r="C1232" t="s">
        <v>2309</v>
      </c>
      <c r="D1232">
        <v>100210</v>
      </c>
      <c r="E1232" t="s">
        <v>2310</v>
      </c>
      <c r="F1232" t="s">
        <v>2311</v>
      </c>
      <c r="G1232" t="s">
        <v>2312</v>
      </c>
      <c r="H1232" t="s">
        <v>2331</v>
      </c>
      <c r="I1232" t="s">
        <v>54</v>
      </c>
      <c r="J1232" t="s">
        <v>2332</v>
      </c>
      <c r="K1232" t="s">
        <v>56</v>
      </c>
      <c r="L1232">
        <v>0</v>
      </c>
      <c r="M1232" t="s">
        <v>73</v>
      </c>
      <c r="N1232">
        <v>0</v>
      </c>
      <c r="O1232" t="s">
        <v>58</v>
      </c>
      <c r="P1232" t="s">
        <v>59</v>
      </c>
      <c r="Q1232" t="s">
        <v>378</v>
      </c>
      <c r="R1232" t="s">
        <v>2332</v>
      </c>
      <c r="S1232" s="1">
        <v>44440</v>
      </c>
      <c r="T1232" s="1">
        <v>44440</v>
      </c>
      <c r="U1232">
        <v>37501</v>
      </c>
      <c r="V1232" t="s">
        <v>61</v>
      </c>
      <c r="W1232" t="s">
        <v>2333</v>
      </c>
      <c r="X1232" s="1">
        <v>44445</v>
      </c>
      <c r="Y1232" t="s">
        <v>63</v>
      </c>
      <c r="Z1232">
        <v>770.69</v>
      </c>
      <c r="AA1232">
        <v>16</v>
      </c>
      <c r="AB1232">
        <v>123.31</v>
      </c>
      <c r="AC1232">
        <v>89</v>
      </c>
      <c r="AD1232">
        <v>983</v>
      </c>
      <c r="AE1232">
        <v>983</v>
      </c>
      <c r="AF1232">
        <v>1034</v>
      </c>
      <c r="AG1232" t="s">
        <v>2317</v>
      </c>
      <c r="AH1232" t="s">
        <v>65</v>
      </c>
      <c r="AI1232" t="s">
        <v>65</v>
      </c>
      <c r="AJ1232" t="s">
        <v>66</v>
      </c>
      <c r="AK1232" t="s">
        <v>66</v>
      </c>
      <c r="AL1232" t="s">
        <v>66</v>
      </c>
      <c r="AM1232" s="2" t="str">
        <f>HYPERLINK("https://transparencia.cidesi.mx/comprobantes/2021/CQ2100738 /C170121684 (1).pdf")</f>
        <v>https://transparencia.cidesi.mx/comprobantes/2021/CQ2100738 /C170121684 (1).pdf</v>
      </c>
      <c r="AN1232" t="str">
        <f>HYPERLINK("https://transparencia.cidesi.mx/comprobantes/2021/CQ2100738 /C170121684 (1).pdf")</f>
        <v>https://transparencia.cidesi.mx/comprobantes/2021/CQ2100738 /C170121684 (1).pdf</v>
      </c>
      <c r="AO1232" t="str">
        <f>HYPERLINK("https://transparencia.cidesi.mx/comprobantes/2021/CQ2100738 /C170121684.xml")</f>
        <v>https://transparencia.cidesi.mx/comprobantes/2021/CQ2100738 /C170121684.xml</v>
      </c>
      <c r="AP1232" t="s">
        <v>2334</v>
      </c>
      <c r="AQ1232" t="s">
        <v>2335</v>
      </c>
      <c r="AR1232" t="s">
        <v>2336</v>
      </c>
      <c r="AS1232" t="s">
        <v>2337</v>
      </c>
      <c r="AT1232" s="1">
        <v>44448</v>
      </c>
      <c r="AU1232" s="1">
        <v>44452</v>
      </c>
    </row>
    <row r="1233" spans="1:47" x14ac:dyDescent="0.3">
      <c r="A1233" t="s">
        <v>2308</v>
      </c>
      <c r="B1233" t="s">
        <v>2309</v>
      </c>
      <c r="C1233" t="s">
        <v>2309</v>
      </c>
      <c r="D1233">
        <v>100210</v>
      </c>
      <c r="E1233" t="s">
        <v>2310</v>
      </c>
      <c r="F1233" t="s">
        <v>2311</v>
      </c>
      <c r="G1233" t="s">
        <v>2312</v>
      </c>
      <c r="H1233" t="s">
        <v>2338</v>
      </c>
      <c r="I1233" t="s">
        <v>54</v>
      </c>
      <c r="J1233" t="s">
        <v>2339</v>
      </c>
      <c r="K1233" t="s">
        <v>56</v>
      </c>
      <c r="L1233">
        <v>0</v>
      </c>
      <c r="M1233" t="s">
        <v>73</v>
      </c>
      <c r="N1233">
        <v>0</v>
      </c>
      <c r="O1233" t="s">
        <v>58</v>
      </c>
      <c r="P1233" t="s">
        <v>59</v>
      </c>
      <c r="Q1233" t="s">
        <v>297</v>
      </c>
      <c r="R1233" t="s">
        <v>2339</v>
      </c>
      <c r="S1233" s="1">
        <v>44458</v>
      </c>
      <c r="T1233" s="1">
        <v>44460</v>
      </c>
      <c r="U1233">
        <v>37501</v>
      </c>
      <c r="V1233" t="s">
        <v>61</v>
      </c>
      <c r="W1233" t="s">
        <v>2340</v>
      </c>
      <c r="X1233" s="1">
        <v>44461</v>
      </c>
      <c r="Y1233" t="s">
        <v>63</v>
      </c>
      <c r="Z1233">
        <v>0.01</v>
      </c>
      <c r="AA1233">
        <v>0</v>
      </c>
      <c r="AB1233">
        <v>0</v>
      </c>
      <c r="AC1233">
        <v>0</v>
      </c>
      <c r="AD1233">
        <v>0.01</v>
      </c>
      <c r="AE1233">
        <v>0.01</v>
      </c>
      <c r="AF1233">
        <v>5172</v>
      </c>
      <c r="AG1233" t="s">
        <v>2317</v>
      </c>
      <c r="AH1233" t="s">
        <v>66</v>
      </c>
      <c r="AI1233" t="s">
        <v>66</v>
      </c>
      <c r="AJ1233" t="s">
        <v>66</v>
      </c>
      <c r="AK1233" t="s">
        <v>66</v>
      </c>
      <c r="AL1233" t="s">
        <v>66</v>
      </c>
      <c r="AM1233" s="2" t="s">
        <v>73</v>
      </c>
      <c r="AN1233" t="s">
        <v>73</v>
      </c>
      <c r="AO1233" t="s">
        <v>73</v>
      </c>
      <c r="AP1233" t="s">
        <v>2341</v>
      </c>
      <c r="AQ1233" t="s">
        <v>2342</v>
      </c>
      <c r="AR1233" t="s">
        <v>2342</v>
      </c>
      <c r="AS1233" t="s">
        <v>2342</v>
      </c>
      <c r="AT1233" s="1">
        <v>44467</v>
      </c>
      <c r="AU1233" s="1">
        <v>44473</v>
      </c>
    </row>
    <row r="1234" spans="1:47" x14ac:dyDescent="0.3">
      <c r="A1234" t="s">
        <v>2308</v>
      </c>
      <c r="B1234" t="s">
        <v>2309</v>
      </c>
      <c r="C1234" t="s">
        <v>2309</v>
      </c>
      <c r="D1234">
        <v>100210</v>
      </c>
      <c r="E1234" t="s">
        <v>2310</v>
      </c>
      <c r="F1234" t="s">
        <v>2311</v>
      </c>
      <c r="G1234" t="s">
        <v>2312</v>
      </c>
      <c r="H1234" t="s">
        <v>2343</v>
      </c>
      <c r="I1234" t="s">
        <v>54</v>
      </c>
      <c r="J1234" t="s">
        <v>2344</v>
      </c>
      <c r="K1234" t="s">
        <v>56</v>
      </c>
      <c r="L1234">
        <v>0</v>
      </c>
      <c r="M1234" t="s">
        <v>73</v>
      </c>
      <c r="N1234">
        <v>0</v>
      </c>
      <c r="O1234" t="s">
        <v>58</v>
      </c>
      <c r="P1234" t="s">
        <v>59</v>
      </c>
      <c r="Q1234" t="s">
        <v>60</v>
      </c>
      <c r="R1234" t="s">
        <v>2344</v>
      </c>
      <c r="S1234" s="1">
        <v>44467</v>
      </c>
      <c r="T1234" s="1">
        <v>44467</v>
      </c>
      <c r="U1234">
        <v>37501</v>
      </c>
      <c r="V1234" t="s">
        <v>61</v>
      </c>
      <c r="W1234" t="s">
        <v>2345</v>
      </c>
      <c r="X1234" s="1">
        <v>44470</v>
      </c>
      <c r="Y1234" t="s">
        <v>207</v>
      </c>
      <c r="Z1234">
        <v>0.01</v>
      </c>
      <c r="AA1234">
        <v>0</v>
      </c>
      <c r="AB1234">
        <v>0</v>
      </c>
      <c r="AC1234">
        <v>0</v>
      </c>
      <c r="AD1234">
        <v>0.01</v>
      </c>
      <c r="AE1234">
        <v>0.01</v>
      </c>
      <c r="AF1234">
        <v>1034</v>
      </c>
      <c r="AG1234" t="s">
        <v>2317</v>
      </c>
      <c r="AH1234" t="s">
        <v>66</v>
      </c>
      <c r="AI1234" t="s">
        <v>66</v>
      </c>
      <c r="AJ1234" t="s">
        <v>66</v>
      </c>
      <c r="AK1234" t="s">
        <v>66</v>
      </c>
      <c r="AL1234" t="s">
        <v>66</v>
      </c>
      <c r="AM1234" s="2" t="s">
        <v>73</v>
      </c>
      <c r="AN1234" t="s">
        <v>73</v>
      </c>
      <c r="AO1234" t="s">
        <v>73</v>
      </c>
      <c r="AP1234" t="s">
        <v>2346</v>
      </c>
      <c r="AQ1234" t="s">
        <v>2346</v>
      </c>
      <c r="AR1234" t="s">
        <v>2346</v>
      </c>
      <c r="AS1234" t="s">
        <v>2346</v>
      </c>
      <c r="AT1234" s="1">
        <v>44475</v>
      </c>
      <c r="AU1234" t="s">
        <v>73</v>
      </c>
    </row>
    <row r="1235" spans="1:47" x14ac:dyDescent="0.3">
      <c r="A1235" t="s">
        <v>47</v>
      </c>
      <c r="B1235" t="s">
        <v>224</v>
      </c>
      <c r="C1235" t="s">
        <v>372</v>
      </c>
      <c r="D1235">
        <v>100214</v>
      </c>
      <c r="E1235" t="s">
        <v>2347</v>
      </c>
      <c r="F1235" t="s">
        <v>351</v>
      </c>
      <c r="G1235" t="s">
        <v>2348</v>
      </c>
      <c r="H1235" t="s">
        <v>2349</v>
      </c>
      <c r="I1235" t="s">
        <v>54</v>
      </c>
      <c r="J1235" t="s">
        <v>2350</v>
      </c>
      <c r="K1235" t="s">
        <v>56</v>
      </c>
      <c r="L1235">
        <v>0</v>
      </c>
      <c r="M1235" t="s">
        <v>73</v>
      </c>
      <c r="N1235">
        <v>0</v>
      </c>
      <c r="O1235" t="s">
        <v>58</v>
      </c>
      <c r="P1235" t="s">
        <v>59</v>
      </c>
      <c r="Q1235" t="s">
        <v>378</v>
      </c>
      <c r="R1235" t="s">
        <v>2350</v>
      </c>
      <c r="S1235" s="1">
        <v>44446</v>
      </c>
      <c r="T1235" s="1">
        <v>44446</v>
      </c>
      <c r="U1235">
        <v>37501</v>
      </c>
      <c r="V1235" t="s">
        <v>61</v>
      </c>
      <c r="W1235" t="s">
        <v>2351</v>
      </c>
      <c r="X1235" s="1">
        <v>44446</v>
      </c>
      <c r="Y1235" t="s">
        <v>63</v>
      </c>
      <c r="Z1235">
        <v>325.86</v>
      </c>
      <c r="AA1235">
        <v>0.16</v>
      </c>
      <c r="AB1235">
        <v>52.14</v>
      </c>
      <c r="AC1235">
        <v>0</v>
      </c>
      <c r="AD1235">
        <v>378</v>
      </c>
      <c r="AE1235">
        <v>378</v>
      </c>
      <c r="AF1235">
        <v>545</v>
      </c>
      <c r="AG1235" t="s">
        <v>2352</v>
      </c>
      <c r="AH1235" t="s">
        <v>65</v>
      </c>
      <c r="AI1235" t="s">
        <v>65</v>
      </c>
      <c r="AJ1235" t="s">
        <v>66</v>
      </c>
      <c r="AK1235" t="s">
        <v>66</v>
      </c>
      <c r="AL1235" t="s">
        <v>66</v>
      </c>
      <c r="AM1235" s="2" t="str">
        <f>HYPERLINK("https://transparencia.cidesi.mx/comprobantes/2021/CQ2100750 /C1G69515.pdf")</f>
        <v>https://transparencia.cidesi.mx/comprobantes/2021/CQ2100750 /C1G69515.pdf</v>
      </c>
      <c r="AN1235" t="str">
        <f>HYPERLINK("https://transparencia.cidesi.mx/comprobantes/2021/CQ2100750 /C1G69515.pdf")</f>
        <v>https://transparencia.cidesi.mx/comprobantes/2021/CQ2100750 /C1G69515.pdf</v>
      </c>
      <c r="AO1235" t="str">
        <f>HYPERLINK("https://transparencia.cidesi.mx/comprobantes/2021/CQ2100750 /C1G69515.xml")</f>
        <v>https://transparencia.cidesi.mx/comprobantes/2021/CQ2100750 /C1G69515.xml</v>
      </c>
      <c r="AP1235" t="s">
        <v>2350</v>
      </c>
      <c r="AQ1235" t="s">
        <v>2353</v>
      </c>
      <c r="AR1235" t="s">
        <v>2353</v>
      </c>
      <c r="AS1235" t="s">
        <v>2353</v>
      </c>
      <c r="AT1235" s="1">
        <v>44453</v>
      </c>
      <c r="AU1235" s="1">
        <v>44467</v>
      </c>
    </row>
    <row r="1236" spans="1:47" x14ac:dyDescent="0.3">
      <c r="A1236" t="s">
        <v>246</v>
      </c>
      <c r="B1236" t="s">
        <v>48</v>
      </c>
      <c r="C1236" t="s">
        <v>338</v>
      </c>
      <c r="D1236">
        <v>100220</v>
      </c>
      <c r="E1236" t="s">
        <v>2233</v>
      </c>
      <c r="F1236" t="s">
        <v>2354</v>
      </c>
      <c r="G1236" t="s">
        <v>2355</v>
      </c>
      <c r="H1236" t="s">
        <v>2356</v>
      </c>
      <c r="I1236" t="s">
        <v>54</v>
      </c>
      <c r="J1236" t="s">
        <v>2357</v>
      </c>
      <c r="K1236" t="s">
        <v>56</v>
      </c>
      <c r="L1236">
        <v>0</v>
      </c>
      <c r="M1236" t="s">
        <v>73</v>
      </c>
      <c r="N1236">
        <v>0</v>
      </c>
      <c r="O1236" t="s">
        <v>58</v>
      </c>
      <c r="P1236" t="s">
        <v>59</v>
      </c>
      <c r="Q1236" t="s">
        <v>1284</v>
      </c>
      <c r="R1236" t="s">
        <v>2357</v>
      </c>
      <c r="S1236" s="1">
        <v>44385</v>
      </c>
      <c r="T1236" s="1">
        <v>44385</v>
      </c>
      <c r="U1236">
        <v>37501</v>
      </c>
      <c r="V1236" t="s">
        <v>61</v>
      </c>
      <c r="W1236" t="s">
        <v>2358</v>
      </c>
      <c r="X1236" s="1">
        <v>44386</v>
      </c>
      <c r="Y1236" t="s">
        <v>63</v>
      </c>
      <c r="Z1236">
        <v>293.97000000000003</v>
      </c>
      <c r="AA1236">
        <v>16</v>
      </c>
      <c r="AB1236">
        <v>47.04</v>
      </c>
      <c r="AC1236">
        <v>34</v>
      </c>
      <c r="AD1236">
        <v>375.01</v>
      </c>
      <c r="AE1236">
        <v>506.01</v>
      </c>
      <c r="AF1236">
        <v>545</v>
      </c>
      <c r="AG1236" t="s">
        <v>2359</v>
      </c>
      <c r="AH1236" t="s">
        <v>65</v>
      </c>
      <c r="AI1236" t="s">
        <v>65</v>
      </c>
      <c r="AJ1236" t="s">
        <v>66</v>
      </c>
      <c r="AK1236" t="s">
        <v>66</v>
      </c>
      <c r="AL1236" t="s">
        <v>66</v>
      </c>
      <c r="AM1236" s="2" t="str">
        <f>HYPERLINK("https://transparencia.cidesi.mx/comprobantes/2021/CQ2100498 /C1GEX0108298K9FB0000088804.pdf")</f>
        <v>https://transparencia.cidesi.mx/comprobantes/2021/CQ2100498 /C1GEX0108298K9FB0000088804.pdf</v>
      </c>
      <c r="AN1236" t="str">
        <f>HYPERLINK("https://transparencia.cidesi.mx/comprobantes/2021/CQ2100498 /C1GEX0108298K9FB0000088804.pdf")</f>
        <v>https://transparencia.cidesi.mx/comprobantes/2021/CQ2100498 /C1GEX0108298K9FB0000088804.pdf</v>
      </c>
      <c r="AO1236" t="str">
        <f>HYPERLINK("https://transparencia.cidesi.mx/comprobantes/2021/CQ2100498 /C1GEX0108298K9FB0000088804.xml")</f>
        <v>https://transparencia.cidesi.mx/comprobantes/2021/CQ2100498 /C1GEX0108298K9FB0000088804.xml</v>
      </c>
      <c r="AP1236" t="s">
        <v>2360</v>
      </c>
      <c r="AQ1236" t="s">
        <v>2361</v>
      </c>
      <c r="AR1236" t="s">
        <v>2361</v>
      </c>
      <c r="AS1236" t="s">
        <v>2361</v>
      </c>
      <c r="AT1236" s="1">
        <v>44389</v>
      </c>
      <c r="AU1236" s="1">
        <v>44390</v>
      </c>
    </row>
    <row r="1237" spans="1:47" x14ac:dyDescent="0.3">
      <c r="A1237" t="s">
        <v>246</v>
      </c>
      <c r="B1237" t="s">
        <v>48</v>
      </c>
      <c r="C1237" t="s">
        <v>338</v>
      </c>
      <c r="D1237">
        <v>100220</v>
      </c>
      <c r="E1237" t="s">
        <v>2233</v>
      </c>
      <c r="F1237" t="s">
        <v>2354</v>
      </c>
      <c r="G1237" t="s">
        <v>2355</v>
      </c>
      <c r="H1237" t="s">
        <v>2356</v>
      </c>
      <c r="I1237" t="s">
        <v>54</v>
      </c>
      <c r="J1237" t="s">
        <v>2357</v>
      </c>
      <c r="K1237" t="s">
        <v>56</v>
      </c>
      <c r="L1237">
        <v>0</v>
      </c>
      <c r="M1237" t="s">
        <v>73</v>
      </c>
      <c r="N1237">
        <v>0</v>
      </c>
      <c r="O1237" t="s">
        <v>58</v>
      </c>
      <c r="P1237" t="s">
        <v>59</v>
      </c>
      <c r="Q1237" t="s">
        <v>1284</v>
      </c>
      <c r="R1237" t="s">
        <v>2357</v>
      </c>
      <c r="S1237" s="1">
        <v>44385</v>
      </c>
      <c r="T1237" s="1">
        <v>44385</v>
      </c>
      <c r="U1237">
        <v>37501</v>
      </c>
      <c r="V1237" t="s">
        <v>61</v>
      </c>
      <c r="W1237" t="s">
        <v>2358</v>
      </c>
      <c r="X1237" s="1">
        <v>44386</v>
      </c>
      <c r="Y1237" t="s">
        <v>63</v>
      </c>
      <c r="Z1237">
        <v>112.93</v>
      </c>
      <c r="AA1237">
        <v>16</v>
      </c>
      <c r="AB1237">
        <v>18.07</v>
      </c>
      <c r="AC1237">
        <v>0</v>
      </c>
      <c r="AD1237">
        <v>131</v>
      </c>
      <c r="AE1237">
        <v>506.01</v>
      </c>
      <c r="AF1237">
        <v>545</v>
      </c>
      <c r="AG1237" t="s">
        <v>2359</v>
      </c>
      <c r="AH1237" t="s">
        <v>65</v>
      </c>
      <c r="AI1237" t="s">
        <v>65</v>
      </c>
      <c r="AJ1237" t="s">
        <v>66</v>
      </c>
      <c r="AK1237" t="s">
        <v>66</v>
      </c>
      <c r="AL1237" t="s">
        <v>66</v>
      </c>
      <c r="AM1237" s="2" t="str">
        <f>HYPERLINK("https://transparencia.cidesi.mx/comprobantes/2021/CQ2100498 /C269018591.pdf")</f>
        <v>https://transparencia.cidesi.mx/comprobantes/2021/CQ2100498 /C269018591.pdf</v>
      </c>
      <c r="AN1237" t="str">
        <f>HYPERLINK("https://transparencia.cidesi.mx/comprobantes/2021/CQ2100498 /C269018591.pdf")</f>
        <v>https://transparencia.cidesi.mx/comprobantes/2021/CQ2100498 /C269018591.pdf</v>
      </c>
      <c r="AO1237" t="str">
        <f>HYPERLINK("https://transparencia.cidesi.mx/comprobantes/2021/CQ2100498 /C269018591.xml")</f>
        <v>https://transparencia.cidesi.mx/comprobantes/2021/CQ2100498 /C269018591.xml</v>
      </c>
      <c r="AP1237" t="s">
        <v>2360</v>
      </c>
      <c r="AQ1237" t="s">
        <v>2361</v>
      </c>
      <c r="AR1237" t="s">
        <v>2361</v>
      </c>
      <c r="AS1237" t="s">
        <v>2361</v>
      </c>
      <c r="AT1237" s="1">
        <v>44389</v>
      </c>
      <c r="AU1237" s="1">
        <v>44390</v>
      </c>
    </row>
    <row r="1238" spans="1:47" x14ac:dyDescent="0.3">
      <c r="A1238" t="s">
        <v>246</v>
      </c>
      <c r="B1238" t="s">
        <v>48</v>
      </c>
      <c r="C1238" t="s">
        <v>338</v>
      </c>
      <c r="D1238">
        <v>100220</v>
      </c>
      <c r="E1238" t="s">
        <v>2233</v>
      </c>
      <c r="F1238" t="s">
        <v>2354</v>
      </c>
      <c r="G1238" t="s">
        <v>2355</v>
      </c>
      <c r="H1238" t="s">
        <v>2362</v>
      </c>
      <c r="I1238" t="s">
        <v>54</v>
      </c>
      <c r="J1238" t="s">
        <v>2363</v>
      </c>
      <c r="K1238" t="s">
        <v>56</v>
      </c>
      <c r="L1238">
        <v>0</v>
      </c>
      <c r="M1238" t="s">
        <v>73</v>
      </c>
      <c r="N1238">
        <v>0</v>
      </c>
      <c r="O1238" t="s">
        <v>58</v>
      </c>
      <c r="P1238" t="s">
        <v>59</v>
      </c>
      <c r="Q1238" t="s">
        <v>216</v>
      </c>
      <c r="R1238" t="s">
        <v>2363</v>
      </c>
      <c r="S1238" s="1">
        <v>44392</v>
      </c>
      <c r="T1238" s="1">
        <v>44392</v>
      </c>
      <c r="U1238">
        <v>37501</v>
      </c>
      <c r="V1238" t="s">
        <v>61</v>
      </c>
      <c r="W1238" t="s">
        <v>2364</v>
      </c>
      <c r="X1238" s="1">
        <v>44397</v>
      </c>
      <c r="Y1238" t="s">
        <v>63</v>
      </c>
      <c r="Z1238">
        <v>235.34</v>
      </c>
      <c r="AA1238">
        <v>16</v>
      </c>
      <c r="AB1238">
        <v>37.65</v>
      </c>
      <c r="AC1238">
        <v>0</v>
      </c>
      <c r="AD1238">
        <v>272.99</v>
      </c>
      <c r="AE1238">
        <v>272.99</v>
      </c>
      <c r="AF1238">
        <v>545</v>
      </c>
      <c r="AG1238" t="s">
        <v>2359</v>
      </c>
      <c r="AH1238" t="s">
        <v>65</v>
      </c>
      <c r="AI1238" t="s">
        <v>65</v>
      </c>
      <c r="AJ1238" t="s">
        <v>66</v>
      </c>
      <c r="AK1238" t="s">
        <v>66</v>
      </c>
      <c r="AL1238" t="s">
        <v>66</v>
      </c>
      <c r="AM1238" s="2" t="str">
        <f>HYPERLINK("https://transparencia.cidesi.mx/comprobantes/2021/CQ2100530 /C13dcacd2f-65c9-4e5f-a50f-934c2fbf3638.pdf")</f>
        <v>https://transparencia.cidesi.mx/comprobantes/2021/CQ2100530 /C13dcacd2f-65c9-4e5f-a50f-934c2fbf3638.pdf</v>
      </c>
      <c r="AN1238" t="str">
        <f>HYPERLINK("https://transparencia.cidesi.mx/comprobantes/2021/CQ2100530 /C13dcacd2f-65c9-4e5f-a50f-934c2fbf3638.pdf")</f>
        <v>https://transparencia.cidesi.mx/comprobantes/2021/CQ2100530 /C13dcacd2f-65c9-4e5f-a50f-934c2fbf3638.pdf</v>
      </c>
      <c r="AO1238" t="str">
        <f>HYPERLINK("https://transparencia.cidesi.mx/comprobantes/2021/CQ2100530 /C13dcacd2f-65c9-4e5f-a50f-934c2fbf3638.xml")</f>
        <v>https://transparencia.cidesi.mx/comprobantes/2021/CQ2100530 /C13dcacd2f-65c9-4e5f-a50f-934c2fbf3638.xml</v>
      </c>
      <c r="AP1238" t="s">
        <v>2365</v>
      </c>
      <c r="AQ1238" t="s">
        <v>2365</v>
      </c>
      <c r="AR1238" t="s">
        <v>2365</v>
      </c>
      <c r="AS1238" t="s">
        <v>2365</v>
      </c>
      <c r="AT1238" s="1">
        <v>44397</v>
      </c>
      <c r="AU1238" s="1">
        <v>44399</v>
      </c>
    </row>
    <row r="1239" spans="1:47" x14ac:dyDescent="0.3">
      <c r="A1239" t="s">
        <v>246</v>
      </c>
      <c r="B1239" t="s">
        <v>48</v>
      </c>
      <c r="C1239" t="s">
        <v>338</v>
      </c>
      <c r="D1239">
        <v>100220</v>
      </c>
      <c r="E1239" t="s">
        <v>2233</v>
      </c>
      <c r="F1239" t="s">
        <v>2354</v>
      </c>
      <c r="G1239" t="s">
        <v>2355</v>
      </c>
      <c r="H1239" t="s">
        <v>2366</v>
      </c>
      <c r="I1239" t="s">
        <v>54</v>
      </c>
      <c r="J1239" t="s">
        <v>2367</v>
      </c>
      <c r="K1239" t="s">
        <v>56</v>
      </c>
      <c r="L1239">
        <v>0</v>
      </c>
      <c r="M1239" t="s">
        <v>73</v>
      </c>
      <c r="N1239">
        <v>0</v>
      </c>
      <c r="O1239" t="s">
        <v>58</v>
      </c>
      <c r="P1239" t="s">
        <v>59</v>
      </c>
      <c r="Q1239" t="s">
        <v>378</v>
      </c>
      <c r="R1239" t="s">
        <v>2367</v>
      </c>
      <c r="S1239" s="1">
        <v>44405</v>
      </c>
      <c r="T1239" s="1">
        <v>44405</v>
      </c>
      <c r="U1239">
        <v>37501</v>
      </c>
      <c r="V1239" t="s">
        <v>61</v>
      </c>
      <c r="W1239" t="s">
        <v>2368</v>
      </c>
      <c r="X1239" s="1">
        <v>44410</v>
      </c>
      <c r="Y1239" t="s">
        <v>63</v>
      </c>
      <c r="Z1239">
        <v>128.02000000000001</v>
      </c>
      <c r="AA1239">
        <v>16</v>
      </c>
      <c r="AB1239">
        <v>20.48</v>
      </c>
      <c r="AC1239">
        <v>0</v>
      </c>
      <c r="AD1239">
        <v>148.5</v>
      </c>
      <c r="AE1239">
        <v>312.5</v>
      </c>
      <c r="AF1239">
        <v>545</v>
      </c>
      <c r="AG1239" t="s">
        <v>2359</v>
      </c>
      <c r="AH1239" t="s">
        <v>65</v>
      </c>
      <c r="AI1239" t="s">
        <v>65</v>
      </c>
      <c r="AJ1239" t="s">
        <v>66</v>
      </c>
      <c r="AK1239" t="s">
        <v>66</v>
      </c>
      <c r="AL1239" t="s">
        <v>66</v>
      </c>
      <c r="AM1239" s="2" t="str">
        <f>HYPERLINK("https://transparencia.cidesi.mx/comprobantes/2021/CQ2100582 /C1FACT-J6115-CID840309UG7.pdf")</f>
        <v>https://transparencia.cidesi.mx/comprobantes/2021/CQ2100582 /C1FACT-J6115-CID840309UG7.pdf</v>
      </c>
      <c r="AN1239" t="str">
        <f>HYPERLINK("https://transparencia.cidesi.mx/comprobantes/2021/CQ2100582 /C1FACT-J6115-CID840309UG7.pdf")</f>
        <v>https://transparencia.cidesi.mx/comprobantes/2021/CQ2100582 /C1FACT-J6115-CID840309UG7.pdf</v>
      </c>
      <c r="AO1239" t="str">
        <f>HYPERLINK("https://transparencia.cidesi.mx/comprobantes/2021/CQ2100582 /C1FACT-J6115-CID840309UG7.xml")</f>
        <v>https://transparencia.cidesi.mx/comprobantes/2021/CQ2100582 /C1FACT-J6115-CID840309UG7.xml</v>
      </c>
      <c r="AP1239" t="s">
        <v>2369</v>
      </c>
      <c r="AQ1239" t="s">
        <v>2370</v>
      </c>
      <c r="AR1239" t="s">
        <v>2370</v>
      </c>
      <c r="AS1239" t="s">
        <v>2370</v>
      </c>
      <c r="AT1239" s="1">
        <v>44411</v>
      </c>
      <c r="AU1239" s="1">
        <v>44424</v>
      </c>
    </row>
    <row r="1240" spans="1:47" x14ac:dyDescent="0.3">
      <c r="A1240" t="s">
        <v>246</v>
      </c>
      <c r="B1240" t="s">
        <v>48</v>
      </c>
      <c r="C1240" t="s">
        <v>338</v>
      </c>
      <c r="D1240">
        <v>100220</v>
      </c>
      <c r="E1240" t="s">
        <v>2233</v>
      </c>
      <c r="F1240" t="s">
        <v>2354</v>
      </c>
      <c r="G1240" t="s">
        <v>2355</v>
      </c>
      <c r="H1240" t="s">
        <v>2366</v>
      </c>
      <c r="I1240" t="s">
        <v>54</v>
      </c>
      <c r="J1240" t="s">
        <v>2367</v>
      </c>
      <c r="K1240" t="s">
        <v>56</v>
      </c>
      <c r="L1240">
        <v>0</v>
      </c>
      <c r="M1240" t="s">
        <v>73</v>
      </c>
      <c r="N1240">
        <v>0</v>
      </c>
      <c r="O1240" t="s">
        <v>58</v>
      </c>
      <c r="P1240" t="s">
        <v>59</v>
      </c>
      <c r="Q1240" t="s">
        <v>378</v>
      </c>
      <c r="R1240" t="s">
        <v>2367</v>
      </c>
      <c r="S1240" s="1">
        <v>44405</v>
      </c>
      <c r="T1240" s="1">
        <v>44405</v>
      </c>
      <c r="U1240">
        <v>37501</v>
      </c>
      <c r="V1240" t="s">
        <v>61</v>
      </c>
      <c r="W1240" t="s">
        <v>2368</v>
      </c>
      <c r="X1240" s="1">
        <v>44410</v>
      </c>
      <c r="Y1240" t="s">
        <v>63</v>
      </c>
      <c r="Z1240">
        <v>34</v>
      </c>
      <c r="AA1240">
        <v>0</v>
      </c>
      <c r="AB1240">
        <v>0</v>
      </c>
      <c r="AC1240">
        <v>0</v>
      </c>
      <c r="AD1240">
        <v>34</v>
      </c>
      <c r="AE1240">
        <v>312.5</v>
      </c>
      <c r="AF1240">
        <v>545</v>
      </c>
      <c r="AG1240" t="s">
        <v>2359</v>
      </c>
      <c r="AH1240" t="s">
        <v>65</v>
      </c>
      <c r="AI1240" t="s">
        <v>65</v>
      </c>
      <c r="AJ1240" t="s">
        <v>66</v>
      </c>
      <c r="AK1240" t="s">
        <v>66</v>
      </c>
      <c r="AL1240" t="s">
        <v>66</v>
      </c>
      <c r="AM1240" s="2" t="str">
        <f>HYPERLINK("https://transparencia.cidesi.mx/comprobantes/2021/CQ2100582 /C2NCO080625228.pdf")</f>
        <v>https://transparencia.cidesi.mx/comprobantes/2021/CQ2100582 /C2NCO080625228.pdf</v>
      </c>
      <c r="AN1240" t="str">
        <f>HYPERLINK("https://transparencia.cidesi.mx/comprobantes/2021/CQ2100582 /C2NCO080625228.pdf")</f>
        <v>https://transparencia.cidesi.mx/comprobantes/2021/CQ2100582 /C2NCO080625228.pdf</v>
      </c>
      <c r="AO1240" t="str">
        <f>HYPERLINK("https://transparencia.cidesi.mx/comprobantes/2021/CQ2100582 /C2NCO080625228_Factura_PAZ14939_20210728.xml")</f>
        <v>https://transparencia.cidesi.mx/comprobantes/2021/CQ2100582 /C2NCO080625228_Factura_PAZ14939_20210728.xml</v>
      </c>
      <c r="AP1240" t="s">
        <v>2369</v>
      </c>
      <c r="AQ1240" t="s">
        <v>2370</v>
      </c>
      <c r="AR1240" t="s">
        <v>2370</v>
      </c>
      <c r="AS1240" t="s">
        <v>2370</v>
      </c>
      <c r="AT1240" s="1">
        <v>44411</v>
      </c>
      <c r="AU1240" s="1">
        <v>44424</v>
      </c>
    </row>
    <row r="1241" spans="1:47" x14ac:dyDescent="0.3">
      <c r="A1241" t="s">
        <v>246</v>
      </c>
      <c r="B1241" t="s">
        <v>48</v>
      </c>
      <c r="C1241" t="s">
        <v>338</v>
      </c>
      <c r="D1241">
        <v>100220</v>
      </c>
      <c r="E1241" t="s">
        <v>2233</v>
      </c>
      <c r="F1241" t="s">
        <v>2354</v>
      </c>
      <c r="G1241" t="s">
        <v>2355</v>
      </c>
      <c r="H1241" t="s">
        <v>2366</v>
      </c>
      <c r="I1241" t="s">
        <v>54</v>
      </c>
      <c r="J1241" t="s">
        <v>2367</v>
      </c>
      <c r="K1241" t="s">
        <v>56</v>
      </c>
      <c r="L1241">
        <v>0</v>
      </c>
      <c r="M1241" t="s">
        <v>73</v>
      </c>
      <c r="N1241">
        <v>0</v>
      </c>
      <c r="O1241" t="s">
        <v>58</v>
      </c>
      <c r="P1241" t="s">
        <v>59</v>
      </c>
      <c r="Q1241" t="s">
        <v>378</v>
      </c>
      <c r="R1241" t="s">
        <v>2367</v>
      </c>
      <c r="S1241" s="1">
        <v>44405</v>
      </c>
      <c r="T1241" s="1">
        <v>44405</v>
      </c>
      <c r="U1241">
        <v>37501</v>
      </c>
      <c r="V1241" t="s">
        <v>61</v>
      </c>
      <c r="W1241" t="s">
        <v>2368</v>
      </c>
      <c r="X1241" s="1">
        <v>44410</v>
      </c>
      <c r="Y1241" t="s">
        <v>63</v>
      </c>
      <c r="Z1241">
        <v>112.07</v>
      </c>
      <c r="AA1241">
        <v>16</v>
      </c>
      <c r="AB1241">
        <v>17.93</v>
      </c>
      <c r="AC1241">
        <v>0</v>
      </c>
      <c r="AD1241">
        <v>130</v>
      </c>
      <c r="AE1241">
        <v>312.5</v>
      </c>
      <c r="AF1241">
        <v>545</v>
      </c>
      <c r="AG1241" t="s">
        <v>2359</v>
      </c>
      <c r="AH1241" t="s">
        <v>65</v>
      </c>
      <c r="AI1241" t="s">
        <v>65</v>
      </c>
      <c r="AJ1241" t="s">
        <v>66</v>
      </c>
      <c r="AK1241" t="s">
        <v>66</v>
      </c>
      <c r="AL1241" t="s">
        <v>66</v>
      </c>
      <c r="AM1241" s="2" t="str">
        <f>HYPERLINK("https://transparencia.cidesi.mx/comprobantes/2021/CQ2100582 /C3FacturaFRP-175988.pdf")</f>
        <v>https://transparencia.cidesi.mx/comprobantes/2021/CQ2100582 /C3FacturaFRP-175988.pdf</v>
      </c>
      <c r="AN1241" t="str">
        <f>HYPERLINK("https://transparencia.cidesi.mx/comprobantes/2021/CQ2100582 /C3FacturaFRP-175988.pdf")</f>
        <v>https://transparencia.cidesi.mx/comprobantes/2021/CQ2100582 /C3FacturaFRP-175988.pdf</v>
      </c>
      <c r="AO1241" t="str">
        <f>HYPERLINK("https://transparencia.cidesi.mx/comprobantes/2021/CQ2100582 /C3FacturaFRP-175988.xml")</f>
        <v>https://transparencia.cidesi.mx/comprobantes/2021/CQ2100582 /C3FacturaFRP-175988.xml</v>
      </c>
      <c r="AP1241" t="s">
        <v>2369</v>
      </c>
      <c r="AQ1241" t="s">
        <v>2370</v>
      </c>
      <c r="AR1241" t="s">
        <v>2370</v>
      </c>
      <c r="AS1241" t="s">
        <v>2370</v>
      </c>
      <c r="AT1241" s="1">
        <v>44411</v>
      </c>
      <c r="AU1241" s="1">
        <v>44424</v>
      </c>
    </row>
    <row r="1242" spans="1:47" x14ac:dyDescent="0.3">
      <c r="A1242" t="s">
        <v>246</v>
      </c>
      <c r="B1242" t="s">
        <v>48</v>
      </c>
      <c r="C1242" t="s">
        <v>338</v>
      </c>
      <c r="D1242">
        <v>100220</v>
      </c>
      <c r="E1242" t="s">
        <v>2233</v>
      </c>
      <c r="F1242" t="s">
        <v>2354</v>
      </c>
      <c r="G1242" t="s">
        <v>2355</v>
      </c>
      <c r="H1242" t="s">
        <v>2371</v>
      </c>
      <c r="I1242" t="s">
        <v>54</v>
      </c>
      <c r="J1242" t="s">
        <v>2372</v>
      </c>
      <c r="K1242" t="s">
        <v>56</v>
      </c>
      <c r="L1242">
        <v>0</v>
      </c>
      <c r="M1242" t="s">
        <v>73</v>
      </c>
      <c r="N1242">
        <v>0</v>
      </c>
      <c r="O1242" t="s">
        <v>58</v>
      </c>
      <c r="P1242" t="s">
        <v>59</v>
      </c>
      <c r="Q1242" t="s">
        <v>378</v>
      </c>
      <c r="R1242" t="s">
        <v>2372</v>
      </c>
      <c r="S1242" s="1">
        <v>44418</v>
      </c>
      <c r="T1242" s="1">
        <v>44419</v>
      </c>
      <c r="U1242">
        <v>37501</v>
      </c>
      <c r="V1242" t="s">
        <v>61</v>
      </c>
      <c r="W1242" t="s">
        <v>2373</v>
      </c>
      <c r="X1242" s="1">
        <v>44424</v>
      </c>
      <c r="Y1242" t="s">
        <v>63</v>
      </c>
      <c r="Z1242">
        <v>148.28</v>
      </c>
      <c r="AA1242">
        <v>16</v>
      </c>
      <c r="AB1242">
        <v>23.72</v>
      </c>
      <c r="AC1242">
        <v>17.2</v>
      </c>
      <c r="AD1242">
        <v>189.2</v>
      </c>
      <c r="AE1242">
        <v>1287.04</v>
      </c>
      <c r="AF1242">
        <v>1636</v>
      </c>
      <c r="AG1242" t="s">
        <v>2359</v>
      </c>
      <c r="AH1242" t="s">
        <v>65</v>
      </c>
      <c r="AI1242" t="s">
        <v>65</v>
      </c>
      <c r="AJ1242" t="s">
        <v>66</v>
      </c>
      <c r="AK1242" t="s">
        <v>66</v>
      </c>
      <c r="AL1242" t="s">
        <v>66</v>
      </c>
      <c r="AM1242" s="2" t="str">
        <f>HYPERLINK("https://transparencia.cidesi.mx/comprobantes/2021/CQ2100651 /C1Factura-19533.pdf")</f>
        <v>https://transparencia.cidesi.mx/comprobantes/2021/CQ2100651 /C1Factura-19533.pdf</v>
      </c>
      <c r="AN1242" t="str">
        <f>HYPERLINK("https://transparencia.cidesi.mx/comprobantes/2021/CQ2100651 /C1Factura-19533.pdf")</f>
        <v>https://transparencia.cidesi.mx/comprobantes/2021/CQ2100651 /C1Factura-19533.pdf</v>
      </c>
      <c r="AO1242" t="str">
        <f>HYPERLINK("https://transparencia.cidesi.mx/comprobantes/2021/CQ2100651 /C1Factura-19533.xml")</f>
        <v>https://transparencia.cidesi.mx/comprobantes/2021/CQ2100651 /C1Factura-19533.xml</v>
      </c>
      <c r="AP1242" t="s">
        <v>2374</v>
      </c>
      <c r="AQ1242" t="s">
        <v>2375</v>
      </c>
      <c r="AR1242" t="s">
        <v>2375</v>
      </c>
      <c r="AS1242" t="s">
        <v>2375</v>
      </c>
      <c r="AT1242" s="1">
        <v>44426</v>
      </c>
      <c r="AU1242" s="1">
        <v>44428</v>
      </c>
    </row>
    <row r="1243" spans="1:47" x14ac:dyDescent="0.3">
      <c r="A1243" t="s">
        <v>246</v>
      </c>
      <c r="B1243" t="s">
        <v>48</v>
      </c>
      <c r="C1243" t="s">
        <v>338</v>
      </c>
      <c r="D1243">
        <v>100220</v>
      </c>
      <c r="E1243" t="s">
        <v>2233</v>
      </c>
      <c r="F1243" t="s">
        <v>2354</v>
      </c>
      <c r="G1243" t="s">
        <v>2355</v>
      </c>
      <c r="H1243" t="s">
        <v>2371</v>
      </c>
      <c r="I1243" t="s">
        <v>54</v>
      </c>
      <c r="J1243" t="s">
        <v>2372</v>
      </c>
      <c r="K1243" t="s">
        <v>56</v>
      </c>
      <c r="L1243">
        <v>0</v>
      </c>
      <c r="M1243" t="s">
        <v>73</v>
      </c>
      <c r="N1243">
        <v>0</v>
      </c>
      <c r="O1243" t="s">
        <v>58</v>
      </c>
      <c r="P1243" t="s">
        <v>59</v>
      </c>
      <c r="Q1243" t="s">
        <v>378</v>
      </c>
      <c r="R1243" t="s">
        <v>2372</v>
      </c>
      <c r="S1243" s="1">
        <v>44418</v>
      </c>
      <c r="T1243" s="1">
        <v>44419</v>
      </c>
      <c r="U1243">
        <v>37501</v>
      </c>
      <c r="V1243" t="s">
        <v>104</v>
      </c>
      <c r="W1243" t="s">
        <v>2373</v>
      </c>
      <c r="X1243" s="1">
        <v>44424</v>
      </c>
      <c r="Y1243" t="s">
        <v>63</v>
      </c>
      <c r="Z1243">
        <v>713.94</v>
      </c>
      <c r="AA1243">
        <v>16</v>
      </c>
      <c r="AB1243">
        <v>110.9</v>
      </c>
      <c r="AC1243">
        <v>0</v>
      </c>
      <c r="AD1243">
        <v>824.84</v>
      </c>
      <c r="AE1243">
        <v>1287.04</v>
      </c>
      <c r="AF1243">
        <v>1636</v>
      </c>
      <c r="AG1243" t="s">
        <v>2376</v>
      </c>
      <c r="AH1243" t="s">
        <v>65</v>
      </c>
      <c r="AI1243" t="s">
        <v>65</v>
      </c>
      <c r="AJ1243" t="s">
        <v>66</v>
      </c>
      <c r="AK1243" t="s">
        <v>66</v>
      </c>
      <c r="AL1243" t="s">
        <v>66</v>
      </c>
      <c r="AM1243" s="2" t="str">
        <f>HYPERLINK("https://transparencia.cidesi.mx/comprobantes/2021/CQ2100651 /C212282177.pdf")</f>
        <v>https://transparencia.cidesi.mx/comprobantes/2021/CQ2100651 /C212282177.pdf</v>
      </c>
      <c r="AN1243" t="str">
        <f>HYPERLINK("https://transparencia.cidesi.mx/comprobantes/2021/CQ2100651 /C212282177.pdf")</f>
        <v>https://transparencia.cidesi.mx/comprobantes/2021/CQ2100651 /C212282177.pdf</v>
      </c>
      <c r="AO1243" t="str">
        <f>HYPERLINK("https://transparencia.cidesi.mx/comprobantes/2021/CQ2100651 /C212282177_timbrado.xml")</f>
        <v>https://transparencia.cidesi.mx/comprobantes/2021/CQ2100651 /C212282177_timbrado.xml</v>
      </c>
      <c r="AP1243" t="s">
        <v>2374</v>
      </c>
      <c r="AQ1243" t="s">
        <v>2375</v>
      </c>
      <c r="AR1243" t="s">
        <v>2375</v>
      </c>
      <c r="AS1243" t="s">
        <v>2375</v>
      </c>
      <c r="AT1243" s="1">
        <v>44426</v>
      </c>
      <c r="AU1243" s="1">
        <v>44428</v>
      </c>
    </row>
    <row r="1244" spans="1:47" x14ac:dyDescent="0.3">
      <c r="A1244" t="s">
        <v>246</v>
      </c>
      <c r="B1244" t="s">
        <v>48</v>
      </c>
      <c r="C1244" t="s">
        <v>338</v>
      </c>
      <c r="D1244">
        <v>100220</v>
      </c>
      <c r="E1244" t="s">
        <v>2233</v>
      </c>
      <c r="F1244" t="s">
        <v>2354</v>
      </c>
      <c r="G1244" t="s">
        <v>2355</v>
      </c>
      <c r="H1244" t="s">
        <v>2371</v>
      </c>
      <c r="I1244" t="s">
        <v>54</v>
      </c>
      <c r="J1244" t="s">
        <v>2372</v>
      </c>
      <c r="K1244" t="s">
        <v>56</v>
      </c>
      <c r="L1244">
        <v>0</v>
      </c>
      <c r="M1244" t="s">
        <v>73</v>
      </c>
      <c r="N1244">
        <v>0</v>
      </c>
      <c r="O1244" t="s">
        <v>58</v>
      </c>
      <c r="P1244" t="s">
        <v>59</v>
      </c>
      <c r="Q1244" t="s">
        <v>378</v>
      </c>
      <c r="R1244" t="s">
        <v>2372</v>
      </c>
      <c r="S1244" s="1">
        <v>44418</v>
      </c>
      <c r="T1244" s="1">
        <v>44419</v>
      </c>
      <c r="U1244">
        <v>37501</v>
      </c>
      <c r="V1244" t="s">
        <v>61</v>
      </c>
      <c r="W1244" t="s">
        <v>2373</v>
      </c>
      <c r="X1244" s="1">
        <v>44424</v>
      </c>
      <c r="Y1244" t="s">
        <v>63</v>
      </c>
      <c r="Z1244">
        <v>112.07</v>
      </c>
      <c r="AA1244">
        <v>16</v>
      </c>
      <c r="AB1244">
        <v>17.93</v>
      </c>
      <c r="AC1244">
        <v>0</v>
      </c>
      <c r="AD1244">
        <v>130</v>
      </c>
      <c r="AE1244">
        <v>1287.04</v>
      </c>
      <c r="AF1244">
        <v>1636</v>
      </c>
      <c r="AG1244" t="s">
        <v>2359</v>
      </c>
      <c r="AH1244" t="s">
        <v>65</v>
      </c>
      <c r="AI1244" t="s">
        <v>65</v>
      </c>
      <c r="AJ1244" t="s">
        <v>66</v>
      </c>
      <c r="AK1244" t="s">
        <v>66</v>
      </c>
      <c r="AL1244" t="s">
        <v>66</v>
      </c>
      <c r="AM1244" s="2" t="str">
        <f>HYPERLINK("https://transparencia.cidesi.mx/comprobantes/2021/CQ2100651 /C3FacturaFRP-176798.pdf")</f>
        <v>https://transparencia.cidesi.mx/comprobantes/2021/CQ2100651 /C3FacturaFRP-176798.pdf</v>
      </c>
      <c r="AN1244" t="str">
        <f>HYPERLINK("https://transparencia.cidesi.mx/comprobantes/2021/CQ2100651 /C3FacturaFRP-176798.pdf")</f>
        <v>https://transparencia.cidesi.mx/comprobantes/2021/CQ2100651 /C3FacturaFRP-176798.pdf</v>
      </c>
      <c r="AO1244" t="str">
        <f>HYPERLINK("https://transparencia.cidesi.mx/comprobantes/2021/CQ2100651 /C3FacturaFRP-176798.xml")</f>
        <v>https://transparencia.cidesi.mx/comprobantes/2021/CQ2100651 /C3FacturaFRP-176798.xml</v>
      </c>
      <c r="AP1244" t="s">
        <v>2374</v>
      </c>
      <c r="AQ1244" t="s">
        <v>2375</v>
      </c>
      <c r="AR1244" t="s">
        <v>2375</v>
      </c>
      <c r="AS1244" t="s">
        <v>2375</v>
      </c>
      <c r="AT1244" s="1">
        <v>44426</v>
      </c>
      <c r="AU1244" s="1">
        <v>44428</v>
      </c>
    </row>
    <row r="1245" spans="1:47" x14ac:dyDescent="0.3">
      <c r="A1245" t="s">
        <v>246</v>
      </c>
      <c r="B1245" t="s">
        <v>48</v>
      </c>
      <c r="C1245" t="s">
        <v>338</v>
      </c>
      <c r="D1245">
        <v>100220</v>
      </c>
      <c r="E1245" t="s">
        <v>2233</v>
      </c>
      <c r="F1245" t="s">
        <v>2354</v>
      </c>
      <c r="G1245" t="s">
        <v>2355</v>
      </c>
      <c r="H1245" t="s">
        <v>2371</v>
      </c>
      <c r="I1245" t="s">
        <v>54</v>
      </c>
      <c r="J1245" t="s">
        <v>2372</v>
      </c>
      <c r="K1245" t="s">
        <v>56</v>
      </c>
      <c r="L1245">
        <v>0</v>
      </c>
      <c r="M1245" t="s">
        <v>73</v>
      </c>
      <c r="N1245">
        <v>0</v>
      </c>
      <c r="O1245" t="s">
        <v>58</v>
      </c>
      <c r="P1245" t="s">
        <v>59</v>
      </c>
      <c r="Q1245" t="s">
        <v>378</v>
      </c>
      <c r="R1245" t="s">
        <v>2372</v>
      </c>
      <c r="S1245" s="1">
        <v>44418</v>
      </c>
      <c r="T1245" s="1">
        <v>44419</v>
      </c>
      <c r="U1245">
        <v>37501</v>
      </c>
      <c r="V1245" t="s">
        <v>61</v>
      </c>
      <c r="W1245" t="s">
        <v>2373</v>
      </c>
      <c r="X1245" s="1">
        <v>44424</v>
      </c>
      <c r="Y1245" t="s">
        <v>63</v>
      </c>
      <c r="Z1245">
        <v>123.28</v>
      </c>
      <c r="AA1245">
        <v>16</v>
      </c>
      <c r="AB1245">
        <v>19.72</v>
      </c>
      <c r="AC1245">
        <v>0</v>
      </c>
      <c r="AD1245">
        <v>143</v>
      </c>
      <c r="AE1245">
        <v>1287.04</v>
      </c>
      <c r="AF1245">
        <v>1636</v>
      </c>
      <c r="AG1245" t="s">
        <v>2359</v>
      </c>
      <c r="AH1245" t="s">
        <v>65</v>
      </c>
      <c r="AI1245" t="s">
        <v>65</v>
      </c>
      <c r="AJ1245" t="s">
        <v>66</v>
      </c>
      <c r="AK1245" t="s">
        <v>66</v>
      </c>
      <c r="AL1245" t="s">
        <v>66</v>
      </c>
      <c r="AM1245" s="2" t="str">
        <f>HYPERLINK("https://transparencia.cidesi.mx/comprobantes/2021/CQ2100651 /C469678084.pdf")</f>
        <v>https://transparencia.cidesi.mx/comprobantes/2021/CQ2100651 /C469678084.pdf</v>
      </c>
      <c r="AN1245" t="str">
        <f>HYPERLINK("https://transparencia.cidesi.mx/comprobantes/2021/CQ2100651 /C469678084.pdf")</f>
        <v>https://transparencia.cidesi.mx/comprobantes/2021/CQ2100651 /C469678084.pdf</v>
      </c>
      <c r="AO1245" t="str">
        <f>HYPERLINK("https://transparencia.cidesi.mx/comprobantes/2021/CQ2100651 /C469678084.xml")</f>
        <v>https://transparencia.cidesi.mx/comprobantes/2021/CQ2100651 /C469678084.xml</v>
      </c>
      <c r="AP1245" t="s">
        <v>2374</v>
      </c>
      <c r="AQ1245" t="s">
        <v>2375</v>
      </c>
      <c r="AR1245" t="s">
        <v>2375</v>
      </c>
      <c r="AS1245" t="s">
        <v>2375</v>
      </c>
      <c r="AT1245" s="1">
        <v>44426</v>
      </c>
      <c r="AU1245" s="1">
        <v>44428</v>
      </c>
    </row>
    <row r="1246" spans="1:47" x14ac:dyDescent="0.3">
      <c r="A1246" t="s">
        <v>246</v>
      </c>
      <c r="B1246" t="s">
        <v>48</v>
      </c>
      <c r="C1246" t="s">
        <v>338</v>
      </c>
      <c r="D1246">
        <v>100220</v>
      </c>
      <c r="E1246" t="s">
        <v>2233</v>
      </c>
      <c r="F1246" t="s">
        <v>2354</v>
      </c>
      <c r="G1246" t="s">
        <v>2355</v>
      </c>
      <c r="H1246" t="s">
        <v>2377</v>
      </c>
      <c r="I1246" t="s">
        <v>54</v>
      </c>
      <c r="J1246" t="s">
        <v>2378</v>
      </c>
      <c r="K1246" t="s">
        <v>56</v>
      </c>
      <c r="L1246">
        <v>0</v>
      </c>
      <c r="M1246" t="s">
        <v>73</v>
      </c>
      <c r="N1246">
        <v>0</v>
      </c>
      <c r="O1246" t="s">
        <v>58</v>
      </c>
      <c r="P1246" t="s">
        <v>59</v>
      </c>
      <c r="Q1246" t="s">
        <v>108</v>
      </c>
      <c r="R1246" t="s">
        <v>2378</v>
      </c>
      <c r="S1246" s="1">
        <v>44459</v>
      </c>
      <c r="T1246" s="1">
        <v>44461</v>
      </c>
      <c r="U1246">
        <v>37501</v>
      </c>
      <c r="V1246" t="s">
        <v>61</v>
      </c>
      <c r="W1246" t="s">
        <v>2379</v>
      </c>
      <c r="X1246" s="1">
        <v>44466</v>
      </c>
      <c r="Y1246" t="s">
        <v>63</v>
      </c>
      <c r="Z1246">
        <v>363.36</v>
      </c>
      <c r="AA1246">
        <v>16</v>
      </c>
      <c r="AB1246">
        <v>58.14</v>
      </c>
      <c r="AC1246">
        <v>42.15</v>
      </c>
      <c r="AD1246">
        <v>463.65</v>
      </c>
      <c r="AE1246">
        <v>1982.65</v>
      </c>
      <c r="AF1246">
        <v>2727</v>
      </c>
      <c r="AG1246" t="s">
        <v>2359</v>
      </c>
      <c r="AH1246" t="s">
        <v>65</v>
      </c>
      <c r="AI1246" t="s">
        <v>65</v>
      </c>
      <c r="AJ1246" t="s">
        <v>66</v>
      </c>
      <c r="AK1246" t="s">
        <v>66</v>
      </c>
      <c r="AL1246" t="s">
        <v>66</v>
      </c>
      <c r="AM1246" s="2" t="str">
        <f>HYPERLINK("https://transparencia.cidesi.mx/comprobantes/2021/CQ2100886 /C1MSG_004745103_BI_25153.pdf")</f>
        <v>https://transparencia.cidesi.mx/comprobantes/2021/CQ2100886 /C1MSG_004745103_BI_25153.pdf</v>
      </c>
      <c r="AN1246" t="str">
        <f>HYPERLINK("https://transparencia.cidesi.mx/comprobantes/2021/CQ2100886 /C1MSG_004745103_BI_25153.pdf")</f>
        <v>https://transparencia.cidesi.mx/comprobantes/2021/CQ2100886 /C1MSG_004745103_BI_25153.pdf</v>
      </c>
      <c r="AO1246" t="str">
        <f>HYPERLINK("https://transparencia.cidesi.mx/comprobantes/2021/CQ2100886 /C1MSG_004745103_BI_25153.xml")</f>
        <v>https://transparencia.cidesi.mx/comprobantes/2021/CQ2100886 /C1MSG_004745103_BI_25153.xml</v>
      </c>
      <c r="AP1246" t="s">
        <v>2380</v>
      </c>
      <c r="AQ1246" t="s">
        <v>2380</v>
      </c>
      <c r="AR1246" t="s">
        <v>2380</v>
      </c>
      <c r="AS1246" t="s">
        <v>2380</v>
      </c>
      <c r="AT1246" s="1">
        <v>44467</v>
      </c>
      <c r="AU1246" s="1">
        <v>44473</v>
      </c>
    </row>
    <row r="1247" spans="1:47" x14ac:dyDescent="0.3">
      <c r="A1247" t="s">
        <v>246</v>
      </c>
      <c r="B1247" t="s">
        <v>48</v>
      </c>
      <c r="C1247" t="s">
        <v>338</v>
      </c>
      <c r="D1247">
        <v>100220</v>
      </c>
      <c r="E1247" t="s">
        <v>2233</v>
      </c>
      <c r="F1247" t="s">
        <v>2354</v>
      </c>
      <c r="G1247" t="s">
        <v>2355</v>
      </c>
      <c r="H1247" t="s">
        <v>2377</v>
      </c>
      <c r="I1247" t="s">
        <v>54</v>
      </c>
      <c r="J1247" t="s">
        <v>2378</v>
      </c>
      <c r="K1247" t="s">
        <v>56</v>
      </c>
      <c r="L1247">
        <v>0</v>
      </c>
      <c r="M1247" t="s">
        <v>73</v>
      </c>
      <c r="N1247">
        <v>0</v>
      </c>
      <c r="O1247" t="s">
        <v>58</v>
      </c>
      <c r="P1247" t="s">
        <v>59</v>
      </c>
      <c r="Q1247" t="s">
        <v>108</v>
      </c>
      <c r="R1247" t="s">
        <v>2378</v>
      </c>
      <c r="S1247" s="1">
        <v>44459</v>
      </c>
      <c r="T1247" s="1">
        <v>44461</v>
      </c>
      <c r="U1247">
        <v>37501</v>
      </c>
      <c r="V1247" t="s">
        <v>61</v>
      </c>
      <c r="W1247" t="s">
        <v>2379</v>
      </c>
      <c r="X1247" s="1">
        <v>44466</v>
      </c>
      <c r="Y1247" t="s">
        <v>63</v>
      </c>
      <c r="Z1247">
        <v>159.47999999999999</v>
      </c>
      <c r="AA1247">
        <v>16</v>
      </c>
      <c r="AB1247">
        <v>25.52</v>
      </c>
      <c r="AC1247">
        <v>0</v>
      </c>
      <c r="AD1247">
        <v>185</v>
      </c>
      <c r="AE1247">
        <v>1982.65</v>
      </c>
      <c r="AF1247">
        <v>2727</v>
      </c>
      <c r="AG1247" t="s">
        <v>2359</v>
      </c>
      <c r="AH1247" t="s">
        <v>65</v>
      </c>
      <c r="AI1247" t="s">
        <v>65</v>
      </c>
      <c r="AJ1247" t="s">
        <v>66</v>
      </c>
      <c r="AK1247" t="s">
        <v>66</v>
      </c>
      <c r="AL1247" t="s">
        <v>66</v>
      </c>
      <c r="AM1247" s="2" t="str">
        <f>HYPERLINK("https://transparencia.cidesi.mx/comprobantes/2021/CQ2100886 /C270344947.pdf")</f>
        <v>https://transparencia.cidesi.mx/comprobantes/2021/CQ2100886 /C270344947.pdf</v>
      </c>
      <c r="AN1247" t="str">
        <f>HYPERLINK("https://transparencia.cidesi.mx/comprobantes/2021/CQ2100886 /C270344947.pdf")</f>
        <v>https://transparencia.cidesi.mx/comprobantes/2021/CQ2100886 /C270344947.pdf</v>
      </c>
      <c r="AO1247" t="str">
        <f>HYPERLINK("https://transparencia.cidesi.mx/comprobantes/2021/CQ2100886 /C270344947.xml")</f>
        <v>https://transparencia.cidesi.mx/comprobantes/2021/CQ2100886 /C270344947.xml</v>
      </c>
      <c r="AP1247" t="s">
        <v>2380</v>
      </c>
      <c r="AQ1247" t="s">
        <v>2380</v>
      </c>
      <c r="AR1247" t="s">
        <v>2380</v>
      </c>
      <c r="AS1247" t="s">
        <v>2380</v>
      </c>
      <c r="AT1247" s="1">
        <v>44467</v>
      </c>
      <c r="AU1247" s="1">
        <v>44473</v>
      </c>
    </row>
    <row r="1248" spans="1:47" x14ac:dyDescent="0.3">
      <c r="A1248" t="s">
        <v>246</v>
      </c>
      <c r="B1248" t="s">
        <v>48</v>
      </c>
      <c r="C1248" t="s">
        <v>338</v>
      </c>
      <c r="D1248">
        <v>100220</v>
      </c>
      <c r="E1248" t="s">
        <v>2233</v>
      </c>
      <c r="F1248" t="s">
        <v>2354</v>
      </c>
      <c r="G1248" t="s">
        <v>2355</v>
      </c>
      <c r="H1248" t="s">
        <v>2377</v>
      </c>
      <c r="I1248" t="s">
        <v>54</v>
      </c>
      <c r="J1248" t="s">
        <v>2378</v>
      </c>
      <c r="K1248" t="s">
        <v>56</v>
      </c>
      <c r="L1248">
        <v>0</v>
      </c>
      <c r="M1248" t="s">
        <v>73</v>
      </c>
      <c r="N1248">
        <v>0</v>
      </c>
      <c r="O1248" t="s">
        <v>58</v>
      </c>
      <c r="P1248" t="s">
        <v>59</v>
      </c>
      <c r="Q1248" t="s">
        <v>108</v>
      </c>
      <c r="R1248" t="s">
        <v>2378</v>
      </c>
      <c r="S1248" s="1">
        <v>44459</v>
      </c>
      <c r="T1248" s="1">
        <v>44461</v>
      </c>
      <c r="U1248">
        <v>37501</v>
      </c>
      <c r="V1248" t="s">
        <v>61</v>
      </c>
      <c r="W1248" t="s">
        <v>2379</v>
      </c>
      <c r="X1248" s="1">
        <v>44466</v>
      </c>
      <c r="Y1248" t="s">
        <v>63</v>
      </c>
      <c r="Z1248">
        <v>151.72</v>
      </c>
      <c r="AA1248">
        <v>16</v>
      </c>
      <c r="AB1248">
        <v>24.28</v>
      </c>
      <c r="AC1248">
        <v>0</v>
      </c>
      <c r="AD1248">
        <v>176</v>
      </c>
      <c r="AE1248">
        <v>1982.65</v>
      </c>
      <c r="AF1248">
        <v>2727</v>
      </c>
      <c r="AG1248" t="s">
        <v>2359</v>
      </c>
      <c r="AH1248" t="s">
        <v>65</v>
      </c>
      <c r="AI1248" t="s">
        <v>65</v>
      </c>
      <c r="AJ1248" t="s">
        <v>66</v>
      </c>
      <c r="AK1248" t="s">
        <v>66</v>
      </c>
      <c r="AL1248" t="s">
        <v>66</v>
      </c>
      <c r="AM1248" s="2" t="str">
        <f>HYPERLINK("https://transparencia.cidesi.mx/comprobantes/2021/CQ2100886 /C3RORR791119M94_Factura__38538_EE06B25B-E885-4B5E-952F-FDB666B3EB44.pdf")</f>
        <v>https://transparencia.cidesi.mx/comprobantes/2021/CQ2100886 /C3RORR791119M94_Factura__38538_EE06B25B-E885-4B5E-952F-FDB666B3EB44.pdf</v>
      </c>
      <c r="AN1248" t="str">
        <f>HYPERLINK("https://transparencia.cidesi.mx/comprobantes/2021/CQ2100886 /C3RORR791119M94_Factura__38538_EE06B25B-E885-4B5E-952F-FDB666B3EB44.pdf")</f>
        <v>https://transparencia.cidesi.mx/comprobantes/2021/CQ2100886 /C3RORR791119M94_Factura__38538_EE06B25B-E885-4B5E-952F-FDB666B3EB44.pdf</v>
      </c>
      <c r="AO1248" t="str">
        <f>HYPERLINK("https://transparencia.cidesi.mx/comprobantes/2021/CQ2100886 /C3RORR791119M94_Factura__38538_EE06B25B-E885-4B5E-952F-FDB666B3EB44.xml")</f>
        <v>https://transparencia.cidesi.mx/comprobantes/2021/CQ2100886 /C3RORR791119M94_Factura__38538_EE06B25B-E885-4B5E-952F-FDB666B3EB44.xml</v>
      </c>
      <c r="AP1248" t="s">
        <v>2380</v>
      </c>
      <c r="AQ1248" t="s">
        <v>2380</v>
      </c>
      <c r="AR1248" t="s">
        <v>2380</v>
      </c>
      <c r="AS1248" t="s">
        <v>2380</v>
      </c>
      <c r="AT1248" s="1">
        <v>44467</v>
      </c>
      <c r="AU1248" s="1">
        <v>44473</v>
      </c>
    </row>
    <row r="1249" spans="1:47" x14ac:dyDescent="0.3">
      <c r="A1249" t="s">
        <v>246</v>
      </c>
      <c r="B1249" t="s">
        <v>48</v>
      </c>
      <c r="C1249" t="s">
        <v>338</v>
      </c>
      <c r="D1249">
        <v>100220</v>
      </c>
      <c r="E1249" t="s">
        <v>2233</v>
      </c>
      <c r="F1249" t="s">
        <v>2354</v>
      </c>
      <c r="G1249" t="s">
        <v>2355</v>
      </c>
      <c r="H1249" t="s">
        <v>2377</v>
      </c>
      <c r="I1249" t="s">
        <v>54</v>
      </c>
      <c r="J1249" t="s">
        <v>2378</v>
      </c>
      <c r="K1249" t="s">
        <v>56</v>
      </c>
      <c r="L1249">
        <v>0</v>
      </c>
      <c r="M1249" t="s">
        <v>73</v>
      </c>
      <c r="N1249">
        <v>0</v>
      </c>
      <c r="O1249" t="s">
        <v>58</v>
      </c>
      <c r="P1249" t="s">
        <v>59</v>
      </c>
      <c r="Q1249" t="s">
        <v>108</v>
      </c>
      <c r="R1249" t="s">
        <v>2378</v>
      </c>
      <c r="S1249" s="1">
        <v>44459</v>
      </c>
      <c r="T1249" s="1">
        <v>44461</v>
      </c>
      <c r="U1249">
        <v>37501</v>
      </c>
      <c r="V1249" t="s">
        <v>61</v>
      </c>
      <c r="W1249" t="s">
        <v>2379</v>
      </c>
      <c r="X1249" s="1">
        <v>44466</v>
      </c>
      <c r="Y1249" t="s">
        <v>63</v>
      </c>
      <c r="Z1249">
        <v>319.83</v>
      </c>
      <c r="AA1249">
        <v>16</v>
      </c>
      <c r="AB1249">
        <v>51.17</v>
      </c>
      <c r="AC1249">
        <v>37</v>
      </c>
      <c r="AD1249">
        <v>408</v>
      </c>
      <c r="AE1249">
        <v>1982.65</v>
      </c>
      <c r="AF1249">
        <v>2727</v>
      </c>
      <c r="AG1249" t="s">
        <v>2359</v>
      </c>
      <c r="AH1249" t="s">
        <v>65</v>
      </c>
      <c r="AI1249" t="s">
        <v>65</v>
      </c>
      <c r="AJ1249" t="s">
        <v>66</v>
      </c>
      <c r="AK1249" t="s">
        <v>66</v>
      </c>
      <c r="AL1249" t="s">
        <v>66</v>
      </c>
      <c r="AM1249" s="2" t="str">
        <f>HYPERLINK("https://transparencia.cidesi.mx/comprobantes/2021/CQ2100886 /C4GEX0108298K9FB0000091550.pdf")</f>
        <v>https://transparencia.cidesi.mx/comprobantes/2021/CQ2100886 /C4GEX0108298K9FB0000091550.pdf</v>
      </c>
      <c r="AN1249" t="str">
        <f>HYPERLINK("https://transparencia.cidesi.mx/comprobantes/2021/CQ2100886 /C4GEX0108298K9FB0000091550.pdf")</f>
        <v>https://transparencia.cidesi.mx/comprobantes/2021/CQ2100886 /C4GEX0108298K9FB0000091550.pdf</v>
      </c>
      <c r="AO1249" t="str">
        <f>HYPERLINK("https://transparencia.cidesi.mx/comprobantes/2021/CQ2100886 /C4GEX0108298K9FB0000091550.xml")</f>
        <v>https://transparencia.cidesi.mx/comprobantes/2021/CQ2100886 /C4GEX0108298K9FB0000091550.xml</v>
      </c>
      <c r="AP1249" t="s">
        <v>2380</v>
      </c>
      <c r="AQ1249" t="s">
        <v>2380</v>
      </c>
      <c r="AR1249" t="s">
        <v>2380</v>
      </c>
      <c r="AS1249" t="s">
        <v>2380</v>
      </c>
      <c r="AT1249" s="1">
        <v>44467</v>
      </c>
      <c r="AU1249" s="1">
        <v>44473</v>
      </c>
    </row>
    <row r="1250" spans="1:47" x14ac:dyDescent="0.3">
      <c r="A1250" t="s">
        <v>246</v>
      </c>
      <c r="B1250" t="s">
        <v>48</v>
      </c>
      <c r="C1250" t="s">
        <v>338</v>
      </c>
      <c r="D1250">
        <v>100220</v>
      </c>
      <c r="E1250" t="s">
        <v>2233</v>
      </c>
      <c r="F1250" t="s">
        <v>2354</v>
      </c>
      <c r="G1250" t="s">
        <v>2355</v>
      </c>
      <c r="H1250" t="s">
        <v>2377</v>
      </c>
      <c r="I1250" t="s">
        <v>54</v>
      </c>
      <c r="J1250" t="s">
        <v>2378</v>
      </c>
      <c r="K1250" t="s">
        <v>56</v>
      </c>
      <c r="L1250">
        <v>0</v>
      </c>
      <c r="M1250" t="s">
        <v>73</v>
      </c>
      <c r="N1250">
        <v>0</v>
      </c>
      <c r="O1250" t="s">
        <v>58</v>
      </c>
      <c r="P1250" t="s">
        <v>59</v>
      </c>
      <c r="Q1250" t="s">
        <v>108</v>
      </c>
      <c r="R1250" t="s">
        <v>2378</v>
      </c>
      <c r="S1250" s="1">
        <v>44459</v>
      </c>
      <c r="T1250" s="1">
        <v>44461</v>
      </c>
      <c r="U1250">
        <v>37501</v>
      </c>
      <c r="V1250" t="s">
        <v>104</v>
      </c>
      <c r="W1250" t="s">
        <v>2379</v>
      </c>
      <c r="X1250" s="1">
        <v>44466</v>
      </c>
      <c r="Y1250" t="s">
        <v>63</v>
      </c>
      <c r="Z1250">
        <v>649.58000000000004</v>
      </c>
      <c r="AA1250">
        <v>16</v>
      </c>
      <c r="AB1250">
        <v>100.42</v>
      </c>
      <c r="AC1250">
        <v>0</v>
      </c>
      <c r="AD1250">
        <v>750</v>
      </c>
      <c r="AE1250">
        <v>1982.65</v>
      </c>
      <c r="AF1250">
        <v>2727</v>
      </c>
      <c r="AG1250" t="s">
        <v>2376</v>
      </c>
      <c r="AH1250" t="s">
        <v>65</v>
      </c>
      <c r="AI1250" t="s">
        <v>65</v>
      </c>
      <c r="AJ1250" t="s">
        <v>66</v>
      </c>
      <c r="AK1250" t="s">
        <v>66</v>
      </c>
      <c r="AL1250" t="s">
        <v>66</v>
      </c>
      <c r="AM1250" s="2" t="str">
        <f>HYPERLINK("https://transparencia.cidesi.mx/comprobantes/2021/CQ2100886 /C5F0000039773.pdf")</f>
        <v>https://transparencia.cidesi.mx/comprobantes/2021/CQ2100886 /C5F0000039773.pdf</v>
      </c>
      <c r="AN1250" t="str">
        <f>HYPERLINK("https://transparencia.cidesi.mx/comprobantes/2021/CQ2100886 /C5F0000039773.pdf")</f>
        <v>https://transparencia.cidesi.mx/comprobantes/2021/CQ2100886 /C5F0000039773.pdf</v>
      </c>
      <c r="AO1250" t="str">
        <f>HYPERLINK("https://transparencia.cidesi.mx/comprobantes/2021/CQ2100886 /C5F0000039773.xml")</f>
        <v>https://transparencia.cidesi.mx/comprobantes/2021/CQ2100886 /C5F0000039773.xml</v>
      </c>
      <c r="AP1250" t="s">
        <v>2380</v>
      </c>
      <c r="AQ1250" t="s">
        <v>2380</v>
      </c>
      <c r="AR1250" t="s">
        <v>2380</v>
      </c>
      <c r="AS1250" t="s">
        <v>2380</v>
      </c>
      <c r="AT1250" s="1">
        <v>44467</v>
      </c>
      <c r="AU1250" s="1">
        <v>44473</v>
      </c>
    </row>
    <row r="1251" spans="1:47" x14ac:dyDescent="0.3">
      <c r="A1251" t="s">
        <v>47</v>
      </c>
      <c r="B1251" t="s">
        <v>224</v>
      </c>
      <c r="C1251" t="s">
        <v>225</v>
      </c>
      <c r="D1251">
        <v>100233</v>
      </c>
      <c r="E1251" t="s">
        <v>2381</v>
      </c>
      <c r="F1251" t="s">
        <v>2382</v>
      </c>
      <c r="G1251" t="s">
        <v>1119</v>
      </c>
      <c r="H1251" t="s">
        <v>2383</v>
      </c>
      <c r="I1251" t="s">
        <v>54</v>
      </c>
      <c r="J1251" t="s">
        <v>2384</v>
      </c>
      <c r="K1251" t="s">
        <v>56</v>
      </c>
      <c r="L1251">
        <v>0</v>
      </c>
      <c r="M1251" t="s">
        <v>73</v>
      </c>
      <c r="N1251">
        <v>0</v>
      </c>
      <c r="O1251" t="s">
        <v>58</v>
      </c>
      <c r="P1251" t="s">
        <v>59</v>
      </c>
      <c r="Q1251" t="s">
        <v>252</v>
      </c>
      <c r="R1251" t="s">
        <v>2384</v>
      </c>
      <c r="S1251" s="1">
        <v>44419</v>
      </c>
      <c r="T1251" s="1">
        <v>44419</v>
      </c>
      <c r="U1251">
        <v>37501</v>
      </c>
      <c r="V1251" t="s">
        <v>61</v>
      </c>
      <c r="W1251" t="s">
        <v>2385</v>
      </c>
      <c r="X1251" s="1">
        <v>44421</v>
      </c>
      <c r="Y1251" t="s">
        <v>63</v>
      </c>
      <c r="Z1251">
        <v>429.31</v>
      </c>
      <c r="AA1251">
        <v>16</v>
      </c>
      <c r="AB1251">
        <v>68.69</v>
      </c>
      <c r="AC1251">
        <v>47</v>
      </c>
      <c r="AD1251">
        <v>545</v>
      </c>
      <c r="AE1251">
        <v>545</v>
      </c>
      <c r="AF1251">
        <v>545</v>
      </c>
      <c r="AG1251" t="s">
        <v>2386</v>
      </c>
      <c r="AH1251" t="s">
        <v>65</v>
      </c>
      <c r="AI1251" t="s">
        <v>65</v>
      </c>
      <c r="AJ1251" t="s">
        <v>66</v>
      </c>
      <c r="AK1251" t="s">
        <v>66</v>
      </c>
      <c r="AL1251" t="s">
        <v>66</v>
      </c>
      <c r="AM1251" s="2" t="str">
        <f>HYPERLINK("https://transparencia.cidesi.mx/comprobantes/2021/CQ2100646 /C1GEX0108298K9FB0000090044.pdf")</f>
        <v>https://transparencia.cidesi.mx/comprobantes/2021/CQ2100646 /C1GEX0108298K9FB0000090044.pdf</v>
      </c>
      <c r="AN1251" t="str">
        <f>HYPERLINK("https://transparencia.cidesi.mx/comprobantes/2021/CQ2100646 /C1GEX0108298K9FB0000090044.pdf")</f>
        <v>https://transparencia.cidesi.mx/comprobantes/2021/CQ2100646 /C1GEX0108298K9FB0000090044.pdf</v>
      </c>
      <c r="AO1251" t="str">
        <f>HYPERLINK("https://transparencia.cidesi.mx/comprobantes/2021/CQ2100646 /C1GEX0108298K9FB0000090044.xml")</f>
        <v>https://transparencia.cidesi.mx/comprobantes/2021/CQ2100646 /C1GEX0108298K9FB0000090044.xml</v>
      </c>
      <c r="AP1251" t="s">
        <v>2387</v>
      </c>
      <c r="AQ1251" t="s">
        <v>2388</v>
      </c>
      <c r="AR1251" t="s">
        <v>2389</v>
      </c>
      <c r="AS1251" t="s">
        <v>2390</v>
      </c>
      <c r="AT1251" s="1">
        <v>44425</v>
      </c>
      <c r="AU1251" s="1">
        <v>44425</v>
      </c>
    </row>
    <row r="1252" spans="1:47" x14ac:dyDescent="0.3">
      <c r="A1252" t="s">
        <v>47</v>
      </c>
      <c r="B1252" t="s">
        <v>224</v>
      </c>
      <c r="C1252" t="s">
        <v>225</v>
      </c>
      <c r="D1252">
        <v>100233</v>
      </c>
      <c r="E1252" t="s">
        <v>2381</v>
      </c>
      <c r="F1252" t="s">
        <v>2382</v>
      </c>
      <c r="G1252" t="s">
        <v>1119</v>
      </c>
      <c r="H1252" t="s">
        <v>2391</v>
      </c>
      <c r="I1252" t="s">
        <v>54</v>
      </c>
      <c r="J1252" t="s">
        <v>2392</v>
      </c>
      <c r="K1252" t="s">
        <v>56</v>
      </c>
      <c r="L1252">
        <v>0</v>
      </c>
      <c r="M1252" t="s">
        <v>73</v>
      </c>
      <c r="N1252">
        <v>0</v>
      </c>
      <c r="O1252" t="s">
        <v>58</v>
      </c>
      <c r="P1252" t="s">
        <v>59</v>
      </c>
      <c r="Q1252" t="s">
        <v>252</v>
      </c>
      <c r="R1252" t="s">
        <v>2392</v>
      </c>
      <c r="S1252" s="1">
        <v>44448</v>
      </c>
      <c r="T1252" s="1">
        <v>44448</v>
      </c>
      <c r="U1252">
        <v>37501</v>
      </c>
      <c r="V1252" t="s">
        <v>61</v>
      </c>
      <c r="W1252" t="s">
        <v>2393</v>
      </c>
      <c r="X1252" s="1">
        <v>44453</v>
      </c>
      <c r="Y1252" t="s">
        <v>63</v>
      </c>
      <c r="Z1252">
        <v>350</v>
      </c>
      <c r="AA1252">
        <v>16</v>
      </c>
      <c r="AB1252">
        <v>56</v>
      </c>
      <c r="AC1252">
        <v>40</v>
      </c>
      <c r="AD1252">
        <v>446</v>
      </c>
      <c r="AE1252">
        <v>446</v>
      </c>
      <c r="AF1252">
        <v>545</v>
      </c>
      <c r="AG1252" t="s">
        <v>2386</v>
      </c>
      <c r="AH1252" t="s">
        <v>65</v>
      </c>
      <c r="AI1252" t="s">
        <v>65</v>
      </c>
      <c r="AJ1252" t="s">
        <v>66</v>
      </c>
      <c r="AK1252" t="s">
        <v>66</v>
      </c>
      <c r="AL1252" t="s">
        <v>66</v>
      </c>
      <c r="AM1252" s="2" t="str">
        <f>HYPERLINK("https://transparencia.cidesi.mx/comprobantes/2021/CQ2100803 /C1CID840309UG7FF0000006357.pdf")</f>
        <v>https://transparencia.cidesi.mx/comprobantes/2021/CQ2100803 /C1CID840309UG7FF0000006357.pdf</v>
      </c>
      <c r="AN1252" t="str">
        <f>HYPERLINK("https://transparencia.cidesi.mx/comprobantes/2021/CQ2100803 /C1CID840309UG7FF0000006357.pdf")</f>
        <v>https://transparencia.cidesi.mx/comprobantes/2021/CQ2100803 /C1CID840309UG7FF0000006357.pdf</v>
      </c>
      <c r="AO1252" t="str">
        <f>HYPERLINK("https://transparencia.cidesi.mx/comprobantes/2021/CQ2100803 /C1CID840309UG7FF0000006357.xml")</f>
        <v>https://transparencia.cidesi.mx/comprobantes/2021/CQ2100803 /C1CID840309UG7FF0000006357.xml</v>
      </c>
      <c r="AP1252" t="s">
        <v>2394</v>
      </c>
      <c r="AQ1252" t="s">
        <v>2395</v>
      </c>
      <c r="AR1252" t="s">
        <v>2396</v>
      </c>
      <c r="AS1252" t="s">
        <v>2390</v>
      </c>
      <c r="AT1252" s="1">
        <v>44454</v>
      </c>
      <c r="AU1252" s="1">
        <v>44470</v>
      </c>
    </row>
    <row r="1253" spans="1:47" x14ac:dyDescent="0.3">
      <c r="A1253" t="s">
        <v>47</v>
      </c>
      <c r="B1253" t="s">
        <v>224</v>
      </c>
      <c r="C1253" t="s">
        <v>225</v>
      </c>
      <c r="D1253">
        <v>100233</v>
      </c>
      <c r="E1253" t="s">
        <v>2381</v>
      </c>
      <c r="F1253" t="s">
        <v>2382</v>
      </c>
      <c r="G1253" t="s">
        <v>1119</v>
      </c>
      <c r="H1253" t="s">
        <v>2397</v>
      </c>
      <c r="I1253" t="s">
        <v>54</v>
      </c>
      <c r="J1253" t="s">
        <v>2398</v>
      </c>
      <c r="K1253" t="s">
        <v>56</v>
      </c>
      <c r="L1253">
        <v>0</v>
      </c>
      <c r="M1253" t="s">
        <v>73</v>
      </c>
      <c r="N1253">
        <v>0</v>
      </c>
      <c r="O1253" t="s">
        <v>58</v>
      </c>
      <c r="P1253" t="s">
        <v>59</v>
      </c>
      <c r="Q1253" t="s">
        <v>252</v>
      </c>
      <c r="R1253" t="s">
        <v>2398</v>
      </c>
      <c r="S1253" s="1">
        <v>44452</v>
      </c>
      <c r="T1253" s="1">
        <v>44452</v>
      </c>
      <c r="U1253">
        <v>37501</v>
      </c>
      <c r="V1253" t="s">
        <v>61</v>
      </c>
      <c r="W1253" t="s">
        <v>2399</v>
      </c>
      <c r="X1253" s="1">
        <v>44454</v>
      </c>
      <c r="Y1253" t="s">
        <v>63</v>
      </c>
      <c r="Z1253">
        <v>396.55</v>
      </c>
      <c r="AA1253">
        <v>16</v>
      </c>
      <c r="AB1253">
        <v>63.45</v>
      </c>
      <c r="AC1253">
        <v>0</v>
      </c>
      <c r="AD1253">
        <v>460</v>
      </c>
      <c r="AE1253">
        <v>507</v>
      </c>
      <c r="AF1253">
        <v>545</v>
      </c>
      <c r="AG1253" t="s">
        <v>2386</v>
      </c>
      <c r="AH1253" t="s">
        <v>65</v>
      </c>
      <c r="AI1253" t="s">
        <v>65</v>
      </c>
      <c r="AJ1253" t="s">
        <v>66</v>
      </c>
      <c r="AK1253" t="s">
        <v>66</v>
      </c>
      <c r="AL1253" t="s">
        <v>66</v>
      </c>
      <c r="AM1253" s="2" t="str">
        <f>HYPERLINK("https://transparencia.cidesi.mx/comprobantes/2021/CQ2100813 /C1CID840309UG7FF0000006391.pdf")</f>
        <v>https://transparencia.cidesi.mx/comprobantes/2021/CQ2100813 /C1CID840309UG7FF0000006391.pdf</v>
      </c>
      <c r="AN1253" t="str">
        <f>HYPERLINK("https://transparencia.cidesi.mx/comprobantes/2021/CQ2100813 /C1CID840309UG7FF0000006391.pdf")</f>
        <v>https://transparencia.cidesi.mx/comprobantes/2021/CQ2100813 /C1CID840309UG7FF0000006391.pdf</v>
      </c>
      <c r="AO1253" t="str">
        <f>HYPERLINK("https://transparencia.cidesi.mx/comprobantes/2021/CQ2100813 /C1CID840309UG7FF0000006391.xml")</f>
        <v>https://transparencia.cidesi.mx/comprobantes/2021/CQ2100813 /C1CID840309UG7FF0000006391.xml</v>
      </c>
      <c r="AP1253" t="s">
        <v>2400</v>
      </c>
      <c r="AQ1253" t="s">
        <v>2401</v>
      </c>
      <c r="AR1253" t="s">
        <v>2401</v>
      </c>
      <c r="AS1253" t="s">
        <v>2402</v>
      </c>
      <c r="AT1253" s="1">
        <v>44456</v>
      </c>
      <c r="AU1253" s="1">
        <v>44470</v>
      </c>
    </row>
    <row r="1254" spans="1:47" x14ac:dyDescent="0.3">
      <c r="A1254" t="s">
        <v>47</v>
      </c>
      <c r="B1254" t="s">
        <v>224</v>
      </c>
      <c r="C1254" t="s">
        <v>225</v>
      </c>
      <c r="D1254">
        <v>100233</v>
      </c>
      <c r="E1254" t="s">
        <v>2381</v>
      </c>
      <c r="F1254" t="s">
        <v>2382</v>
      </c>
      <c r="G1254" t="s">
        <v>1119</v>
      </c>
      <c r="H1254" t="s">
        <v>2397</v>
      </c>
      <c r="I1254" t="s">
        <v>54</v>
      </c>
      <c r="J1254" t="s">
        <v>2398</v>
      </c>
      <c r="K1254" t="s">
        <v>56</v>
      </c>
      <c r="L1254">
        <v>0</v>
      </c>
      <c r="M1254" t="s">
        <v>73</v>
      </c>
      <c r="N1254">
        <v>0</v>
      </c>
      <c r="O1254" t="s">
        <v>58</v>
      </c>
      <c r="P1254" t="s">
        <v>59</v>
      </c>
      <c r="Q1254" t="s">
        <v>252</v>
      </c>
      <c r="R1254" t="s">
        <v>2398</v>
      </c>
      <c r="S1254" s="1">
        <v>44452</v>
      </c>
      <c r="T1254" s="1">
        <v>44452</v>
      </c>
      <c r="U1254">
        <v>37501</v>
      </c>
      <c r="V1254" t="s">
        <v>61</v>
      </c>
      <c r="W1254" t="s">
        <v>2399</v>
      </c>
      <c r="X1254" s="1">
        <v>44454</v>
      </c>
      <c r="Y1254" t="s">
        <v>63</v>
      </c>
      <c r="Z1254">
        <v>40.520000000000003</v>
      </c>
      <c r="AA1254">
        <v>16</v>
      </c>
      <c r="AB1254">
        <v>6.48</v>
      </c>
      <c r="AC1254">
        <v>0</v>
      </c>
      <c r="AD1254">
        <v>47</v>
      </c>
      <c r="AE1254">
        <v>507</v>
      </c>
      <c r="AF1254">
        <v>545</v>
      </c>
      <c r="AG1254" t="s">
        <v>2386</v>
      </c>
      <c r="AH1254" t="s">
        <v>65</v>
      </c>
      <c r="AI1254" t="s">
        <v>65</v>
      </c>
      <c r="AJ1254" t="s">
        <v>66</v>
      </c>
      <c r="AK1254" t="s">
        <v>66</v>
      </c>
      <c r="AL1254" t="s">
        <v>66</v>
      </c>
      <c r="AM1254" s="2" t="str">
        <f>HYPERLINK("https://transparencia.cidesi.mx/comprobantes/2021/CQ2100813 /C2FACTURA_1631718938680_344791785.pdf")</f>
        <v>https://transparencia.cidesi.mx/comprobantes/2021/CQ2100813 /C2FACTURA_1631718938680_344791785.pdf</v>
      </c>
      <c r="AN1254" t="str">
        <f>HYPERLINK("https://transparencia.cidesi.mx/comprobantes/2021/CQ2100813 /C2FACTURA_1631718938680_344791785.pdf")</f>
        <v>https://transparencia.cidesi.mx/comprobantes/2021/CQ2100813 /C2FACTURA_1631718938680_344791785.pdf</v>
      </c>
      <c r="AO1254" t="str">
        <f>HYPERLINK("https://transparencia.cidesi.mx/comprobantes/2021/CQ2100813 /C2FACTURA_1631718939820_344791785.xml")</f>
        <v>https://transparencia.cidesi.mx/comprobantes/2021/CQ2100813 /C2FACTURA_1631718939820_344791785.xml</v>
      </c>
      <c r="AP1254" t="s">
        <v>2400</v>
      </c>
      <c r="AQ1254" t="s">
        <v>2401</v>
      </c>
      <c r="AR1254" t="s">
        <v>2401</v>
      </c>
      <c r="AS1254" t="s">
        <v>2402</v>
      </c>
      <c r="AT1254" s="1">
        <v>44456</v>
      </c>
      <c r="AU1254" s="1">
        <v>44470</v>
      </c>
    </row>
    <row r="1255" spans="1:47" x14ac:dyDescent="0.3">
      <c r="A1255" t="s">
        <v>47</v>
      </c>
      <c r="B1255" t="s">
        <v>224</v>
      </c>
      <c r="C1255" t="s">
        <v>225</v>
      </c>
      <c r="D1255">
        <v>100233</v>
      </c>
      <c r="E1255" t="s">
        <v>2381</v>
      </c>
      <c r="F1255" t="s">
        <v>2382</v>
      </c>
      <c r="G1255" t="s">
        <v>1119</v>
      </c>
      <c r="H1255" t="s">
        <v>2403</v>
      </c>
      <c r="I1255" t="s">
        <v>54</v>
      </c>
      <c r="J1255" t="s">
        <v>2404</v>
      </c>
      <c r="K1255" t="s">
        <v>56</v>
      </c>
      <c r="L1255">
        <v>0</v>
      </c>
      <c r="M1255" t="s">
        <v>73</v>
      </c>
      <c r="N1255">
        <v>0</v>
      </c>
      <c r="O1255" t="s">
        <v>58</v>
      </c>
      <c r="P1255" t="s">
        <v>59</v>
      </c>
      <c r="Q1255" t="s">
        <v>1284</v>
      </c>
      <c r="R1255" t="s">
        <v>2404</v>
      </c>
      <c r="S1255" s="1">
        <v>44461</v>
      </c>
      <c r="T1255" s="1">
        <v>44461</v>
      </c>
      <c r="U1255">
        <v>37501</v>
      </c>
      <c r="V1255" t="s">
        <v>61</v>
      </c>
      <c r="W1255" t="s">
        <v>2405</v>
      </c>
      <c r="X1255" s="1">
        <v>44463</v>
      </c>
      <c r="Y1255" t="s">
        <v>63</v>
      </c>
      <c r="Z1255">
        <v>336.21</v>
      </c>
      <c r="AA1255">
        <v>16</v>
      </c>
      <c r="AB1255">
        <v>53.79</v>
      </c>
      <c r="AC1255">
        <v>0</v>
      </c>
      <c r="AD1255">
        <v>390</v>
      </c>
      <c r="AE1255">
        <v>463</v>
      </c>
      <c r="AF1255">
        <v>545</v>
      </c>
      <c r="AG1255" t="s">
        <v>2386</v>
      </c>
      <c r="AH1255" t="s">
        <v>65</v>
      </c>
      <c r="AI1255" t="s">
        <v>65</v>
      </c>
      <c r="AJ1255" t="s">
        <v>66</v>
      </c>
      <c r="AK1255" t="s">
        <v>66</v>
      </c>
      <c r="AL1255" t="s">
        <v>66</v>
      </c>
      <c r="AM1255" s="2" t="str">
        <f>HYPERLINK("https://transparencia.cidesi.mx/comprobantes/2021/CQ2100878 /C1FA-RN026114-AULG430317679.pdf")</f>
        <v>https://transparencia.cidesi.mx/comprobantes/2021/CQ2100878 /C1FA-RN026114-AULG430317679.pdf</v>
      </c>
      <c r="AN1255" t="str">
        <f>HYPERLINK("https://transparencia.cidesi.mx/comprobantes/2021/CQ2100878 /C1FA-RN026114-AULG430317679.pdf")</f>
        <v>https://transparencia.cidesi.mx/comprobantes/2021/CQ2100878 /C1FA-RN026114-AULG430317679.pdf</v>
      </c>
      <c r="AO1255" t="str">
        <f>HYPERLINK("https://transparencia.cidesi.mx/comprobantes/2021/CQ2100878 /C1FA-RN026114-AULG430317679.xml")</f>
        <v>https://transparencia.cidesi.mx/comprobantes/2021/CQ2100878 /C1FA-RN026114-AULG430317679.xml</v>
      </c>
      <c r="AP1255" t="s">
        <v>2406</v>
      </c>
      <c r="AQ1255" t="s">
        <v>2407</v>
      </c>
      <c r="AR1255" t="s">
        <v>2408</v>
      </c>
      <c r="AS1255" t="s">
        <v>2402</v>
      </c>
      <c r="AT1255" s="1">
        <v>44466</v>
      </c>
      <c r="AU1255" s="1">
        <v>44470</v>
      </c>
    </row>
    <row r="1256" spans="1:47" x14ac:dyDescent="0.3">
      <c r="A1256" t="s">
        <v>47</v>
      </c>
      <c r="B1256" t="s">
        <v>224</v>
      </c>
      <c r="C1256" t="s">
        <v>225</v>
      </c>
      <c r="D1256">
        <v>100233</v>
      </c>
      <c r="E1256" t="s">
        <v>2381</v>
      </c>
      <c r="F1256" t="s">
        <v>2382</v>
      </c>
      <c r="G1256" t="s">
        <v>1119</v>
      </c>
      <c r="H1256" t="s">
        <v>2403</v>
      </c>
      <c r="I1256" t="s">
        <v>54</v>
      </c>
      <c r="J1256" t="s">
        <v>2404</v>
      </c>
      <c r="K1256" t="s">
        <v>56</v>
      </c>
      <c r="L1256">
        <v>0</v>
      </c>
      <c r="M1256" t="s">
        <v>73</v>
      </c>
      <c r="N1256">
        <v>0</v>
      </c>
      <c r="O1256" t="s">
        <v>58</v>
      </c>
      <c r="P1256" t="s">
        <v>59</v>
      </c>
      <c r="Q1256" t="s">
        <v>1284</v>
      </c>
      <c r="R1256" t="s">
        <v>2404</v>
      </c>
      <c r="S1256" s="1">
        <v>44461</v>
      </c>
      <c r="T1256" s="1">
        <v>44461</v>
      </c>
      <c r="U1256">
        <v>37501</v>
      </c>
      <c r="V1256" t="s">
        <v>61</v>
      </c>
      <c r="W1256" t="s">
        <v>2405</v>
      </c>
      <c r="X1256" s="1">
        <v>44463</v>
      </c>
      <c r="Y1256" t="s">
        <v>63</v>
      </c>
      <c r="Z1256">
        <v>69.28</v>
      </c>
      <c r="AA1256">
        <v>16</v>
      </c>
      <c r="AB1256">
        <v>3.72</v>
      </c>
      <c r="AC1256">
        <v>0</v>
      </c>
      <c r="AD1256">
        <v>73</v>
      </c>
      <c r="AE1256">
        <v>463</v>
      </c>
      <c r="AF1256">
        <v>545</v>
      </c>
      <c r="AG1256" t="s">
        <v>2386</v>
      </c>
      <c r="AH1256" t="s">
        <v>65</v>
      </c>
      <c r="AI1256" t="s">
        <v>65</v>
      </c>
      <c r="AJ1256" t="s">
        <v>66</v>
      </c>
      <c r="AK1256" t="s">
        <v>66</v>
      </c>
      <c r="AL1256" t="s">
        <v>66</v>
      </c>
      <c r="AM1256" s="2" t="str">
        <f>HYPERLINK("https://transparencia.cidesi.mx/comprobantes/2021/CQ2100878 /C2FACTURA_1632494416330_345744095.pdf")</f>
        <v>https://transparencia.cidesi.mx/comprobantes/2021/CQ2100878 /C2FACTURA_1632494416330_345744095.pdf</v>
      </c>
      <c r="AN1256" t="str">
        <f>HYPERLINK("https://transparencia.cidesi.mx/comprobantes/2021/CQ2100878 /C2FACTURA_1632494416330_345744095.pdf")</f>
        <v>https://transparencia.cidesi.mx/comprobantes/2021/CQ2100878 /C2FACTURA_1632494416330_345744095.pdf</v>
      </c>
      <c r="AO1256" t="str">
        <f>HYPERLINK("https://transparencia.cidesi.mx/comprobantes/2021/CQ2100878 /C2FACTURA_1632494417210_345744095.xml")</f>
        <v>https://transparencia.cidesi.mx/comprobantes/2021/CQ2100878 /C2FACTURA_1632494417210_345744095.xml</v>
      </c>
      <c r="AP1256" t="s">
        <v>2406</v>
      </c>
      <c r="AQ1256" t="s">
        <v>2407</v>
      </c>
      <c r="AR1256" t="s">
        <v>2408</v>
      </c>
      <c r="AS1256" t="s">
        <v>2402</v>
      </c>
      <c r="AT1256" s="1">
        <v>44466</v>
      </c>
      <c r="AU1256" s="1">
        <v>44470</v>
      </c>
    </row>
    <row r="1257" spans="1:47" x14ac:dyDescent="0.3">
      <c r="A1257" t="s">
        <v>47</v>
      </c>
      <c r="B1257" t="s">
        <v>224</v>
      </c>
      <c r="C1257" t="s">
        <v>225</v>
      </c>
      <c r="D1257">
        <v>100233</v>
      </c>
      <c r="E1257" t="s">
        <v>2381</v>
      </c>
      <c r="F1257" t="s">
        <v>2382</v>
      </c>
      <c r="G1257" t="s">
        <v>1119</v>
      </c>
      <c r="H1257" t="s">
        <v>2409</v>
      </c>
      <c r="I1257" t="s">
        <v>54</v>
      </c>
      <c r="J1257" t="s">
        <v>2406</v>
      </c>
      <c r="K1257" t="s">
        <v>56</v>
      </c>
      <c r="L1257">
        <v>0</v>
      </c>
      <c r="M1257" t="s">
        <v>73</v>
      </c>
      <c r="N1257">
        <v>0</v>
      </c>
      <c r="O1257" t="s">
        <v>58</v>
      </c>
      <c r="P1257" t="s">
        <v>59</v>
      </c>
      <c r="Q1257" t="s">
        <v>1284</v>
      </c>
      <c r="R1257" t="s">
        <v>2406</v>
      </c>
      <c r="S1257" s="1">
        <v>44462</v>
      </c>
      <c r="T1257" s="1">
        <v>44462</v>
      </c>
      <c r="U1257">
        <v>37501</v>
      </c>
      <c r="V1257" t="s">
        <v>61</v>
      </c>
      <c r="W1257" t="s">
        <v>2410</v>
      </c>
      <c r="X1257" s="1">
        <v>44466</v>
      </c>
      <c r="Y1257" t="s">
        <v>63</v>
      </c>
      <c r="Z1257">
        <v>362.07</v>
      </c>
      <c r="AA1257">
        <v>16</v>
      </c>
      <c r="AB1257">
        <v>57.93</v>
      </c>
      <c r="AC1257">
        <v>42</v>
      </c>
      <c r="AD1257">
        <v>462</v>
      </c>
      <c r="AE1257">
        <v>510</v>
      </c>
      <c r="AF1257">
        <v>545</v>
      </c>
      <c r="AG1257" t="s">
        <v>2386</v>
      </c>
      <c r="AH1257" t="s">
        <v>65</v>
      </c>
      <c r="AI1257" t="s">
        <v>65</v>
      </c>
      <c r="AJ1257" t="s">
        <v>66</v>
      </c>
      <c r="AK1257" t="s">
        <v>66</v>
      </c>
      <c r="AL1257" t="s">
        <v>66</v>
      </c>
      <c r="AM1257" s="2" t="str">
        <f>HYPERLINK("https://transparencia.cidesi.mx/comprobantes/2021/CQ2100890 /C1GEX0108298K9FB0000091619.pdf")</f>
        <v>https://transparencia.cidesi.mx/comprobantes/2021/CQ2100890 /C1GEX0108298K9FB0000091619.pdf</v>
      </c>
      <c r="AN1257" t="str">
        <f>HYPERLINK("https://transparencia.cidesi.mx/comprobantes/2021/CQ2100890 /C1GEX0108298K9FB0000091619.pdf")</f>
        <v>https://transparencia.cidesi.mx/comprobantes/2021/CQ2100890 /C1GEX0108298K9FB0000091619.pdf</v>
      </c>
      <c r="AO1257" t="str">
        <f>HYPERLINK("https://transparencia.cidesi.mx/comprobantes/2021/CQ2100890 /C1GEX0108298K9FB0000091619.xml")</f>
        <v>https://transparencia.cidesi.mx/comprobantes/2021/CQ2100890 /C1GEX0108298K9FB0000091619.xml</v>
      </c>
      <c r="AP1257" t="s">
        <v>2411</v>
      </c>
      <c r="AQ1257" t="s">
        <v>2412</v>
      </c>
      <c r="AR1257" t="s">
        <v>2413</v>
      </c>
      <c r="AS1257" t="s">
        <v>2414</v>
      </c>
      <c r="AT1257" s="1">
        <v>44466</v>
      </c>
      <c r="AU1257" s="1">
        <v>44470</v>
      </c>
    </row>
    <row r="1258" spans="1:47" x14ac:dyDescent="0.3">
      <c r="A1258" t="s">
        <v>47</v>
      </c>
      <c r="B1258" t="s">
        <v>224</v>
      </c>
      <c r="C1258" t="s">
        <v>225</v>
      </c>
      <c r="D1258">
        <v>100233</v>
      </c>
      <c r="E1258" t="s">
        <v>2381</v>
      </c>
      <c r="F1258" t="s">
        <v>2382</v>
      </c>
      <c r="G1258" t="s">
        <v>1119</v>
      </c>
      <c r="H1258" t="s">
        <v>2409</v>
      </c>
      <c r="I1258" t="s">
        <v>54</v>
      </c>
      <c r="J1258" t="s">
        <v>2406</v>
      </c>
      <c r="K1258" t="s">
        <v>56</v>
      </c>
      <c r="L1258">
        <v>0</v>
      </c>
      <c r="M1258" t="s">
        <v>73</v>
      </c>
      <c r="N1258">
        <v>0</v>
      </c>
      <c r="O1258" t="s">
        <v>58</v>
      </c>
      <c r="P1258" t="s">
        <v>59</v>
      </c>
      <c r="Q1258" t="s">
        <v>1284</v>
      </c>
      <c r="R1258" t="s">
        <v>2406</v>
      </c>
      <c r="S1258" s="1">
        <v>44462</v>
      </c>
      <c r="T1258" s="1">
        <v>44462</v>
      </c>
      <c r="U1258">
        <v>37501</v>
      </c>
      <c r="V1258" t="s">
        <v>61</v>
      </c>
      <c r="W1258" t="s">
        <v>2410</v>
      </c>
      <c r="X1258" s="1">
        <v>44466</v>
      </c>
      <c r="Y1258" t="s">
        <v>63</v>
      </c>
      <c r="Z1258">
        <v>44.07</v>
      </c>
      <c r="AA1258">
        <v>16</v>
      </c>
      <c r="AB1258">
        <v>3.93</v>
      </c>
      <c r="AC1258">
        <v>0</v>
      </c>
      <c r="AD1258">
        <v>48</v>
      </c>
      <c r="AE1258">
        <v>510</v>
      </c>
      <c r="AF1258">
        <v>545</v>
      </c>
      <c r="AG1258" t="s">
        <v>2386</v>
      </c>
      <c r="AH1258" t="s">
        <v>65</v>
      </c>
      <c r="AI1258" t="s">
        <v>65</v>
      </c>
      <c r="AJ1258" t="s">
        <v>66</v>
      </c>
      <c r="AK1258" t="s">
        <v>66</v>
      </c>
      <c r="AL1258" t="s">
        <v>66</v>
      </c>
      <c r="AM1258" s="2" t="str">
        <f>HYPERLINK("https://transparencia.cidesi.mx/comprobantes/2021/CQ2100890 /C2FACTURA_1632495140878_345745977.pdf")</f>
        <v>https://transparencia.cidesi.mx/comprobantes/2021/CQ2100890 /C2FACTURA_1632495140878_345745977.pdf</v>
      </c>
      <c r="AN1258" t="str">
        <f>HYPERLINK("https://transparencia.cidesi.mx/comprobantes/2021/CQ2100890 /C2FACTURA_1632495140878_345745977.pdf")</f>
        <v>https://transparencia.cidesi.mx/comprobantes/2021/CQ2100890 /C2FACTURA_1632495140878_345745977.pdf</v>
      </c>
      <c r="AO1258" t="str">
        <f>HYPERLINK("https://transparencia.cidesi.mx/comprobantes/2021/CQ2100890 /C2FACTURA_1632495142278_345745977.xml")</f>
        <v>https://transparencia.cidesi.mx/comprobantes/2021/CQ2100890 /C2FACTURA_1632495142278_345745977.xml</v>
      </c>
      <c r="AP1258" t="s">
        <v>2411</v>
      </c>
      <c r="AQ1258" t="s">
        <v>2412</v>
      </c>
      <c r="AR1258" t="s">
        <v>2413</v>
      </c>
      <c r="AS1258" t="s">
        <v>2414</v>
      </c>
      <c r="AT1258" s="1">
        <v>44466</v>
      </c>
      <c r="AU1258" s="1">
        <v>44470</v>
      </c>
    </row>
    <row r="1259" spans="1:47" x14ac:dyDescent="0.3">
      <c r="A1259" t="s">
        <v>47</v>
      </c>
      <c r="B1259" t="s">
        <v>182</v>
      </c>
      <c r="C1259" t="s">
        <v>829</v>
      </c>
      <c r="D1259">
        <v>100237</v>
      </c>
      <c r="E1259" t="s">
        <v>2415</v>
      </c>
      <c r="F1259" t="s">
        <v>1120</v>
      </c>
      <c r="G1259" t="s">
        <v>2416</v>
      </c>
      <c r="H1259" t="s">
        <v>2417</v>
      </c>
      <c r="I1259" t="s">
        <v>54</v>
      </c>
      <c r="J1259" t="s">
        <v>1355</v>
      </c>
      <c r="K1259" t="s">
        <v>56</v>
      </c>
      <c r="L1259">
        <v>0</v>
      </c>
      <c r="M1259" t="s">
        <v>73</v>
      </c>
      <c r="N1259">
        <v>0</v>
      </c>
      <c r="O1259" t="s">
        <v>58</v>
      </c>
      <c r="P1259" t="s">
        <v>59</v>
      </c>
      <c r="Q1259" t="s">
        <v>60</v>
      </c>
      <c r="R1259" t="s">
        <v>1355</v>
      </c>
      <c r="S1259" s="1">
        <v>44408</v>
      </c>
      <c r="T1259" s="1">
        <v>44408</v>
      </c>
      <c r="U1259">
        <v>37501</v>
      </c>
      <c r="V1259" t="s">
        <v>61</v>
      </c>
      <c r="W1259" t="s">
        <v>2418</v>
      </c>
      <c r="X1259" s="1">
        <v>44413</v>
      </c>
      <c r="Y1259" t="s">
        <v>63</v>
      </c>
      <c r="Z1259">
        <v>293</v>
      </c>
      <c r="AA1259">
        <v>16</v>
      </c>
      <c r="AB1259">
        <v>46.88</v>
      </c>
      <c r="AC1259">
        <v>0</v>
      </c>
      <c r="AD1259">
        <v>339.88</v>
      </c>
      <c r="AE1259">
        <v>339.88</v>
      </c>
      <c r="AF1259">
        <v>545</v>
      </c>
      <c r="AG1259" t="s">
        <v>2419</v>
      </c>
      <c r="AH1259" t="s">
        <v>65</v>
      </c>
      <c r="AI1259" t="s">
        <v>65</v>
      </c>
      <c r="AJ1259" t="s">
        <v>66</v>
      </c>
      <c r="AK1259" t="s">
        <v>66</v>
      </c>
      <c r="AL1259" t="s">
        <v>66</v>
      </c>
      <c r="AM1259" s="2" t="str">
        <f>HYPERLINK("https://transparencia.cidesi.mx/comprobantes/2021/CQ2100612 /C1F23913_VEJH880925S57.pdf")</f>
        <v>https://transparencia.cidesi.mx/comprobantes/2021/CQ2100612 /C1F23913_VEJH880925S57.pdf</v>
      </c>
      <c r="AN1259" t="str">
        <f>HYPERLINK("https://transparencia.cidesi.mx/comprobantes/2021/CQ2100612 /C1F23913_VEJH880925S57.pdf")</f>
        <v>https://transparencia.cidesi.mx/comprobantes/2021/CQ2100612 /C1F23913_VEJH880925S57.pdf</v>
      </c>
      <c r="AO1259" t="str">
        <f>HYPERLINK("https://transparencia.cidesi.mx/comprobantes/2021/CQ2100612 /C1F23913_VEJH880925S57.xml")</f>
        <v>https://transparencia.cidesi.mx/comprobantes/2021/CQ2100612 /C1F23913_VEJH880925S57.xml</v>
      </c>
      <c r="AP1259" t="s">
        <v>1355</v>
      </c>
      <c r="AQ1259" t="s">
        <v>2420</v>
      </c>
      <c r="AR1259" t="s">
        <v>2421</v>
      </c>
      <c r="AS1259" t="s">
        <v>2422</v>
      </c>
      <c r="AT1259" s="1">
        <v>44417</v>
      </c>
      <c r="AU1259" s="1">
        <v>44424</v>
      </c>
    </row>
    <row r="1260" spans="1:47" x14ac:dyDescent="0.3">
      <c r="A1260" t="s">
        <v>47</v>
      </c>
      <c r="B1260" t="s">
        <v>182</v>
      </c>
      <c r="C1260" t="s">
        <v>829</v>
      </c>
      <c r="D1260">
        <v>100237</v>
      </c>
      <c r="E1260" t="s">
        <v>2415</v>
      </c>
      <c r="F1260" t="s">
        <v>1120</v>
      </c>
      <c r="G1260" t="s">
        <v>2416</v>
      </c>
      <c r="H1260" t="s">
        <v>2423</v>
      </c>
      <c r="I1260" t="s">
        <v>54</v>
      </c>
      <c r="J1260" t="s">
        <v>1134</v>
      </c>
      <c r="K1260" t="s">
        <v>56</v>
      </c>
      <c r="L1260">
        <v>676</v>
      </c>
      <c r="M1260" t="s">
        <v>1627</v>
      </c>
      <c r="N1260">
        <v>0</v>
      </c>
      <c r="O1260" t="s">
        <v>58</v>
      </c>
      <c r="P1260" t="s">
        <v>59</v>
      </c>
      <c r="Q1260" t="s">
        <v>1135</v>
      </c>
      <c r="R1260" t="s">
        <v>1134</v>
      </c>
      <c r="S1260" s="1">
        <v>44423</v>
      </c>
      <c r="T1260" s="1">
        <v>44428</v>
      </c>
      <c r="U1260">
        <v>37501</v>
      </c>
      <c r="V1260" t="s">
        <v>61</v>
      </c>
      <c r="W1260" t="s">
        <v>2424</v>
      </c>
      <c r="X1260" s="1">
        <v>44440</v>
      </c>
      <c r="Y1260" t="s">
        <v>100</v>
      </c>
      <c r="Z1260">
        <v>366.34</v>
      </c>
      <c r="AA1260">
        <v>16</v>
      </c>
      <c r="AB1260">
        <v>49.66</v>
      </c>
      <c r="AC1260">
        <v>0</v>
      </c>
      <c r="AD1260">
        <v>416</v>
      </c>
      <c r="AE1260">
        <v>3161</v>
      </c>
      <c r="AF1260">
        <v>8618</v>
      </c>
      <c r="AG1260" t="s">
        <v>2419</v>
      </c>
      <c r="AH1260" t="s">
        <v>65</v>
      </c>
      <c r="AI1260" t="s">
        <v>65</v>
      </c>
      <c r="AJ1260" t="s">
        <v>66</v>
      </c>
      <c r="AK1260" t="s">
        <v>66</v>
      </c>
      <c r="AL1260" t="s">
        <v>66</v>
      </c>
      <c r="AM1260" s="2" t="str">
        <f>HYPERLINK("https://transparencia.cidesi.mx/comprobantes/2021/CQ2100720 /C2F69777770_CSI020226MV4.pdf")</f>
        <v>https://transparencia.cidesi.mx/comprobantes/2021/CQ2100720 /C2F69777770_CSI020226MV4.pdf</v>
      </c>
      <c r="AN1260" t="str">
        <f>HYPERLINK("https://transparencia.cidesi.mx/comprobantes/2021/CQ2100720 /C2F69777770_CSI020226MV4.pdf")</f>
        <v>https://transparencia.cidesi.mx/comprobantes/2021/CQ2100720 /C2F69777770_CSI020226MV4.pdf</v>
      </c>
      <c r="AO1260" t="str">
        <f>HYPERLINK("https://transparencia.cidesi.mx/comprobantes/2021/CQ2100720 /C2F69777770_CSI020226MV4.xml")</f>
        <v>https://transparencia.cidesi.mx/comprobantes/2021/CQ2100720 /C2F69777770_CSI020226MV4.xml</v>
      </c>
      <c r="AP1260" t="s">
        <v>2425</v>
      </c>
      <c r="AQ1260" t="s">
        <v>1148</v>
      </c>
      <c r="AR1260" t="s">
        <v>1149</v>
      </c>
      <c r="AS1260" t="s">
        <v>1150</v>
      </c>
      <c r="AT1260" s="1">
        <v>44440</v>
      </c>
      <c r="AU1260" t="s">
        <v>73</v>
      </c>
    </row>
    <row r="1261" spans="1:47" x14ac:dyDescent="0.3">
      <c r="A1261" t="s">
        <v>47</v>
      </c>
      <c r="B1261" t="s">
        <v>182</v>
      </c>
      <c r="C1261" t="s">
        <v>829</v>
      </c>
      <c r="D1261">
        <v>100237</v>
      </c>
      <c r="E1261" t="s">
        <v>2415</v>
      </c>
      <c r="F1261" t="s">
        <v>1120</v>
      </c>
      <c r="G1261" t="s">
        <v>2416</v>
      </c>
      <c r="H1261" t="s">
        <v>2423</v>
      </c>
      <c r="I1261" t="s">
        <v>54</v>
      </c>
      <c r="J1261" t="s">
        <v>1134</v>
      </c>
      <c r="K1261" t="s">
        <v>56</v>
      </c>
      <c r="L1261">
        <v>676</v>
      </c>
      <c r="M1261" t="s">
        <v>1627</v>
      </c>
      <c r="N1261">
        <v>0</v>
      </c>
      <c r="O1261" t="s">
        <v>58</v>
      </c>
      <c r="P1261" t="s">
        <v>59</v>
      </c>
      <c r="Q1261" t="s">
        <v>1135</v>
      </c>
      <c r="R1261" t="s">
        <v>1134</v>
      </c>
      <c r="S1261" s="1">
        <v>44423</v>
      </c>
      <c r="T1261" s="1">
        <v>44428</v>
      </c>
      <c r="U1261">
        <v>37501</v>
      </c>
      <c r="V1261" t="s">
        <v>61</v>
      </c>
      <c r="W1261" t="s">
        <v>2424</v>
      </c>
      <c r="X1261" s="1">
        <v>44440</v>
      </c>
      <c r="Y1261" t="s">
        <v>100</v>
      </c>
      <c r="Z1261">
        <v>133.33000000000001</v>
      </c>
      <c r="AA1261">
        <v>8</v>
      </c>
      <c r="AB1261">
        <v>2.67</v>
      </c>
      <c r="AC1261">
        <v>0</v>
      </c>
      <c r="AD1261">
        <v>136</v>
      </c>
      <c r="AE1261">
        <v>3161</v>
      </c>
      <c r="AF1261">
        <v>8618</v>
      </c>
      <c r="AG1261" t="s">
        <v>2419</v>
      </c>
      <c r="AH1261" t="s">
        <v>65</v>
      </c>
      <c r="AI1261" t="s">
        <v>65</v>
      </c>
      <c r="AJ1261" t="s">
        <v>66</v>
      </c>
      <c r="AK1261" t="s">
        <v>66</v>
      </c>
      <c r="AL1261" t="s">
        <v>66</v>
      </c>
      <c r="AM1261" s="2" t="str">
        <f>HYPERLINK("https://transparencia.cidesi.mx/comprobantes/2021/CQ2100720 /C3F5087_SEM980701STA.pdf")</f>
        <v>https://transparencia.cidesi.mx/comprobantes/2021/CQ2100720 /C3F5087_SEM980701STA.pdf</v>
      </c>
      <c r="AN1261" t="str">
        <f>HYPERLINK("https://transparencia.cidesi.mx/comprobantes/2021/CQ2100720 /C3F5087_SEM980701STA.pdf")</f>
        <v>https://transparencia.cidesi.mx/comprobantes/2021/CQ2100720 /C3F5087_SEM980701STA.pdf</v>
      </c>
      <c r="AO1261" t="str">
        <f>HYPERLINK("https://transparencia.cidesi.mx/comprobantes/2021/CQ2100720 /C3F5087_SEM980701STA.xml")</f>
        <v>https://transparencia.cidesi.mx/comprobantes/2021/CQ2100720 /C3F5087_SEM980701STA.xml</v>
      </c>
      <c r="AP1261" t="s">
        <v>2425</v>
      </c>
      <c r="AQ1261" t="s">
        <v>1148</v>
      </c>
      <c r="AR1261" t="s">
        <v>1149</v>
      </c>
      <c r="AS1261" t="s">
        <v>1150</v>
      </c>
      <c r="AT1261" s="1">
        <v>44440</v>
      </c>
      <c r="AU1261" t="s">
        <v>73</v>
      </c>
    </row>
    <row r="1262" spans="1:47" x14ac:dyDescent="0.3">
      <c r="A1262" t="s">
        <v>47</v>
      </c>
      <c r="B1262" t="s">
        <v>182</v>
      </c>
      <c r="C1262" t="s">
        <v>829</v>
      </c>
      <c r="D1262">
        <v>100237</v>
      </c>
      <c r="E1262" t="s">
        <v>2415</v>
      </c>
      <c r="F1262" t="s">
        <v>1120</v>
      </c>
      <c r="G1262" t="s">
        <v>2416</v>
      </c>
      <c r="H1262" t="s">
        <v>2423</v>
      </c>
      <c r="I1262" t="s">
        <v>54</v>
      </c>
      <c r="J1262" t="s">
        <v>1134</v>
      </c>
      <c r="K1262" t="s">
        <v>56</v>
      </c>
      <c r="L1262">
        <v>676</v>
      </c>
      <c r="M1262" t="s">
        <v>1627</v>
      </c>
      <c r="N1262">
        <v>0</v>
      </c>
      <c r="O1262" t="s">
        <v>58</v>
      </c>
      <c r="P1262" t="s">
        <v>59</v>
      </c>
      <c r="Q1262" t="s">
        <v>1135</v>
      </c>
      <c r="R1262" t="s">
        <v>1134</v>
      </c>
      <c r="S1262" s="1">
        <v>44423</v>
      </c>
      <c r="T1262" s="1">
        <v>44428</v>
      </c>
      <c r="U1262">
        <v>37501</v>
      </c>
      <c r="V1262" t="s">
        <v>61</v>
      </c>
      <c r="W1262" t="s">
        <v>2424</v>
      </c>
      <c r="X1262" s="1">
        <v>44440</v>
      </c>
      <c r="Y1262" t="s">
        <v>100</v>
      </c>
      <c r="Z1262">
        <v>456.48</v>
      </c>
      <c r="AA1262">
        <v>8</v>
      </c>
      <c r="AB1262">
        <v>36.520000000000003</v>
      </c>
      <c r="AC1262">
        <v>0</v>
      </c>
      <c r="AD1262">
        <v>493</v>
      </c>
      <c r="AE1262">
        <v>3161</v>
      </c>
      <c r="AF1262">
        <v>8618</v>
      </c>
      <c r="AG1262" t="s">
        <v>2419</v>
      </c>
      <c r="AH1262" t="s">
        <v>65</v>
      </c>
      <c r="AI1262" t="s">
        <v>65</v>
      </c>
      <c r="AJ1262" t="s">
        <v>66</v>
      </c>
      <c r="AK1262" t="s">
        <v>66</v>
      </c>
      <c r="AL1262" t="s">
        <v>66</v>
      </c>
      <c r="AM1262" s="2" t="str">
        <f>HYPERLINK("https://transparencia.cidesi.mx/comprobantes/2021/CQ2100720 /C4F69777787_CSI020226MV4.pdf")</f>
        <v>https://transparencia.cidesi.mx/comprobantes/2021/CQ2100720 /C4F69777787_CSI020226MV4.pdf</v>
      </c>
      <c r="AN1262" t="str">
        <f>HYPERLINK("https://transparencia.cidesi.mx/comprobantes/2021/CQ2100720 /C4F69777787_CSI020226MV4.pdf")</f>
        <v>https://transparencia.cidesi.mx/comprobantes/2021/CQ2100720 /C4F69777787_CSI020226MV4.pdf</v>
      </c>
      <c r="AO1262" t="str">
        <f>HYPERLINK("https://transparencia.cidesi.mx/comprobantes/2021/CQ2100720 /C4F69777787_CSI020226MV4.xml")</f>
        <v>https://transparencia.cidesi.mx/comprobantes/2021/CQ2100720 /C4F69777787_CSI020226MV4.xml</v>
      </c>
      <c r="AP1262" t="s">
        <v>2425</v>
      </c>
      <c r="AQ1262" t="s">
        <v>1148</v>
      </c>
      <c r="AR1262" t="s">
        <v>1149</v>
      </c>
      <c r="AS1262" t="s">
        <v>1150</v>
      </c>
      <c r="AT1262" s="1">
        <v>44440</v>
      </c>
      <c r="AU1262" t="s">
        <v>73</v>
      </c>
    </row>
    <row r="1263" spans="1:47" x14ac:dyDescent="0.3">
      <c r="A1263" t="s">
        <v>47</v>
      </c>
      <c r="B1263" t="s">
        <v>182</v>
      </c>
      <c r="C1263" t="s">
        <v>829</v>
      </c>
      <c r="D1263">
        <v>100237</v>
      </c>
      <c r="E1263" t="s">
        <v>2415</v>
      </c>
      <c r="F1263" t="s">
        <v>1120</v>
      </c>
      <c r="G1263" t="s">
        <v>2416</v>
      </c>
      <c r="H1263" t="s">
        <v>2423</v>
      </c>
      <c r="I1263" t="s">
        <v>54</v>
      </c>
      <c r="J1263" t="s">
        <v>1134</v>
      </c>
      <c r="K1263" t="s">
        <v>56</v>
      </c>
      <c r="L1263">
        <v>676</v>
      </c>
      <c r="M1263" t="s">
        <v>1627</v>
      </c>
      <c r="N1263">
        <v>0</v>
      </c>
      <c r="O1263" t="s">
        <v>58</v>
      </c>
      <c r="P1263" t="s">
        <v>59</v>
      </c>
      <c r="Q1263" t="s">
        <v>1135</v>
      </c>
      <c r="R1263" t="s">
        <v>1134</v>
      </c>
      <c r="S1263" s="1">
        <v>44423</v>
      </c>
      <c r="T1263" s="1">
        <v>44428</v>
      </c>
      <c r="U1263">
        <v>37501</v>
      </c>
      <c r="V1263" t="s">
        <v>61</v>
      </c>
      <c r="W1263" t="s">
        <v>2424</v>
      </c>
      <c r="X1263" s="1">
        <v>44440</v>
      </c>
      <c r="Y1263" t="s">
        <v>100</v>
      </c>
      <c r="Z1263">
        <v>120.37</v>
      </c>
      <c r="AA1263">
        <v>8</v>
      </c>
      <c r="AB1263">
        <v>9.6300000000000008</v>
      </c>
      <c r="AC1263">
        <v>0</v>
      </c>
      <c r="AD1263">
        <v>130</v>
      </c>
      <c r="AE1263">
        <v>3161</v>
      </c>
      <c r="AF1263">
        <v>8618</v>
      </c>
      <c r="AG1263" t="s">
        <v>2419</v>
      </c>
      <c r="AH1263" t="s">
        <v>65</v>
      </c>
      <c r="AI1263" t="s">
        <v>65</v>
      </c>
      <c r="AJ1263" t="s">
        <v>66</v>
      </c>
      <c r="AK1263" t="s">
        <v>66</v>
      </c>
      <c r="AL1263" t="s">
        <v>66</v>
      </c>
      <c r="AM1263" s="2" t="str">
        <f>HYPERLINK("https://transparencia.cidesi.mx/comprobantes/2021/CQ2100720 /C5FA0000013157_GPE090414250.pdf")</f>
        <v>https://transparencia.cidesi.mx/comprobantes/2021/CQ2100720 /C5FA0000013157_GPE090414250.pdf</v>
      </c>
      <c r="AN1263" t="str">
        <f>HYPERLINK("https://transparencia.cidesi.mx/comprobantes/2021/CQ2100720 /C5FA0000013157_GPE090414250.pdf")</f>
        <v>https://transparencia.cidesi.mx/comprobantes/2021/CQ2100720 /C5FA0000013157_GPE090414250.pdf</v>
      </c>
      <c r="AO1263" t="str">
        <f>HYPERLINK("https://transparencia.cidesi.mx/comprobantes/2021/CQ2100720 /C5FA0000013157_GPE090414250.xml")</f>
        <v>https://transparencia.cidesi.mx/comprobantes/2021/CQ2100720 /C5FA0000013157_GPE090414250.xml</v>
      </c>
      <c r="AP1263" t="s">
        <v>2425</v>
      </c>
      <c r="AQ1263" t="s">
        <v>1148</v>
      </c>
      <c r="AR1263" t="s">
        <v>1149</v>
      </c>
      <c r="AS1263" t="s">
        <v>1150</v>
      </c>
      <c r="AT1263" s="1">
        <v>44440</v>
      </c>
      <c r="AU1263" t="s">
        <v>73</v>
      </c>
    </row>
    <row r="1264" spans="1:47" x14ac:dyDescent="0.3">
      <c r="A1264" t="s">
        <v>47</v>
      </c>
      <c r="B1264" t="s">
        <v>182</v>
      </c>
      <c r="C1264" t="s">
        <v>829</v>
      </c>
      <c r="D1264">
        <v>100237</v>
      </c>
      <c r="E1264" t="s">
        <v>2415</v>
      </c>
      <c r="F1264" t="s">
        <v>1120</v>
      </c>
      <c r="G1264" t="s">
        <v>2416</v>
      </c>
      <c r="H1264" t="s">
        <v>2423</v>
      </c>
      <c r="I1264" t="s">
        <v>54</v>
      </c>
      <c r="J1264" t="s">
        <v>1134</v>
      </c>
      <c r="K1264" t="s">
        <v>56</v>
      </c>
      <c r="L1264">
        <v>676</v>
      </c>
      <c r="M1264" t="s">
        <v>1627</v>
      </c>
      <c r="N1264">
        <v>0</v>
      </c>
      <c r="O1264" t="s">
        <v>58</v>
      </c>
      <c r="P1264" t="s">
        <v>59</v>
      </c>
      <c r="Q1264" t="s">
        <v>1135</v>
      </c>
      <c r="R1264" t="s">
        <v>1134</v>
      </c>
      <c r="S1264" s="1">
        <v>44423</v>
      </c>
      <c r="T1264" s="1">
        <v>44428</v>
      </c>
      <c r="U1264">
        <v>37501</v>
      </c>
      <c r="V1264" t="s">
        <v>61</v>
      </c>
      <c r="W1264" t="s">
        <v>2424</v>
      </c>
      <c r="X1264" s="1">
        <v>44440</v>
      </c>
      <c r="Y1264" t="s">
        <v>100</v>
      </c>
      <c r="Z1264">
        <v>961.53</v>
      </c>
      <c r="AA1264">
        <v>8</v>
      </c>
      <c r="AB1264">
        <v>41.47</v>
      </c>
      <c r="AC1264">
        <v>0</v>
      </c>
      <c r="AD1264">
        <v>1003</v>
      </c>
      <c r="AE1264">
        <v>3161</v>
      </c>
      <c r="AF1264">
        <v>8618</v>
      </c>
      <c r="AG1264" t="s">
        <v>2419</v>
      </c>
      <c r="AH1264" t="s">
        <v>65</v>
      </c>
      <c r="AI1264" t="s">
        <v>65</v>
      </c>
      <c r="AJ1264" t="s">
        <v>66</v>
      </c>
      <c r="AK1264" t="s">
        <v>66</v>
      </c>
      <c r="AL1264" t="s">
        <v>66</v>
      </c>
      <c r="AM1264" s="2" t="str">
        <f>HYPERLINK("https://transparencia.cidesi.mx/comprobantes/2021/CQ2100720 /C6FBXW31362_ACO030325PHA.pdf")</f>
        <v>https://transparencia.cidesi.mx/comprobantes/2021/CQ2100720 /C6FBXW31362_ACO030325PHA.pdf</v>
      </c>
      <c r="AN1264" t="str">
        <f>HYPERLINK("https://transparencia.cidesi.mx/comprobantes/2021/CQ2100720 /C6FBXW31362_ACO030325PHA.pdf")</f>
        <v>https://transparencia.cidesi.mx/comprobantes/2021/CQ2100720 /C6FBXW31362_ACO030325PHA.pdf</v>
      </c>
      <c r="AO1264" t="str">
        <f>HYPERLINK("https://transparencia.cidesi.mx/comprobantes/2021/CQ2100720 /C6FBXW31362_ACO030325PHA.xml")</f>
        <v>https://transparencia.cidesi.mx/comprobantes/2021/CQ2100720 /C6FBXW31362_ACO030325PHA.xml</v>
      </c>
      <c r="AP1264" t="s">
        <v>2425</v>
      </c>
      <c r="AQ1264" t="s">
        <v>1148</v>
      </c>
      <c r="AR1264" t="s">
        <v>1149</v>
      </c>
      <c r="AS1264" t="s">
        <v>1150</v>
      </c>
      <c r="AT1264" s="1">
        <v>44440</v>
      </c>
      <c r="AU1264" t="s">
        <v>73</v>
      </c>
    </row>
    <row r="1265" spans="1:47" x14ac:dyDescent="0.3">
      <c r="A1265" t="s">
        <v>47</v>
      </c>
      <c r="B1265" t="s">
        <v>182</v>
      </c>
      <c r="C1265" t="s">
        <v>829</v>
      </c>
      <c r="D1265">
        <v>100237</v>
      </c>
      <c r="E1265" t="s">
        <v>2415</v>
      </c>
      <c r="F1265" t="s">
        <v>1120</v>
      </c>
      <c r="G1265" t="s">
        <v>2416</v>
      </c>
      <c r="H1265" t="s">
        <v>2423</v>
      </c>
      <c r="I1265" t="s">
        <v>54</v>
      </c>
      <c r="J1265" t="s">
        <v>1134</v>
      </c>
      <c r="K1265" t="s">
        <v>56</v>
      </c>
      <c r="L1265">
        <v>676</v>
      </c>
      <c r="M1265" t="s">
        <v>1627</v>
      </c>
      <c r="N1265">
        <v>0</v>
      </c>
      <c r="O1265" t="s">
        <v>58</v>
      </c>
      <c r="P1265" t="s">
        <v>59</v>
      </c>
      <c r="Q1265" t="s">
        <v>1135</v>
      </c>
      <c r="R1265" t="s">
        <v>1134</v>
      </c>
      <c r="S1265" s="1">
        <v>44423</v>
      </c>
      <c r="T1265" s="1">
        <v>44428</v>
      </c>
      <c r="U1265">
        <v>37501</v>
      </c>
      <c r="V1265" t="s">
        <v>61</v>
      </c>
      <c r="W1265" t="s">
        <v>2424</v>
      </c>
      <c r="X1265" s="1">
        <v>44440</v>
      </c>
      <c r="Y1265" t="s">
        <v>100</v>
      </c>
      <c r="Z1265">
        <v>479.64</v>
      </c>
      <c r="AA1265">
        <v>8</v>
      </c>
      <c r="AB1265">
        <v>38.36</v>
      </c>
      <c r="AC1265">
        <v>0</v>
      </c>
      <c r="AD1265">
        <v>518</v>
      </c>
      <c r="AE1265">
        <v>3161</v>
      </c>
      <c r="AF1265">
        <v>8618</v>
      </c>
      <c r="AG1265" t="s">
        <v>2419</v>
      </c>
      <c r="AH1265" t="s">
        <v>65</v>
      </c>
      <c r="AI1265" t="s">
        <v>65</v>
      </c>
      <c r="AJ1265" t="s">
        <v>66</v>
      </c>
      <c r="AK1265" t="s">
        <v>66</v>
      </c>
      <c r="AL1265" t="s">
        <v>66</v>
      </c>
      <c r="AM1265" s="2" t="str">
        <f>HYPERLINK("https://transparencia.cidesi.mx/comprobantes/2021/CQ2100720 /C7FTM29135_PTA170807F85.pdf")</f>
        <v>https://transparencia.cidesi.mx/comprobantes/2021/CQ2100720 /C7FTM29135_PTA170807F85.pdf</v>
      </c>
      <c r="AN1265" t="str">
        <f>HYPERLINK("https://transparencia.cidesi.mx/comprobantes/2021/CQ2100720 /C7FTM29135_PTA170807F85.pdf")</f>
        <v>https://transparencia.cidesi.mx/comprobantes/2021/CQ2100720 /C7FTM29135_PTA170807F85.pdf</v>
      </c>
      <c r="AO1265" t="str">
        <f>HYPERLINK("https://transparencia.cidesi.mx/comprobantes/2021/CQ2100720 /C7FTM29135_PTA170807F85.xml")</f>
        <v>https://transparencia.cidesi.mx/comprobantes/2021/CQ2100720 /C7FTM29135_PTA170807F85.xml</v>
      </c>
      <c r="AP1265" t="s">
        <v>2425</v>
      </c>
      <c r="AQ1265" t="s">
        <v>1148</v>
      </c>
      <c r="AR1265" t="s">
        <v>1149</v>
      </c>
      <c r="AS1265" t="s">
        <v>1150</v>
      </c>
      <c r="AT1265" s="1">
        <v>44440</v>
      </c>
      <c r="AU1265" t="s">
        <v>73</v>
      </c>
    </row>
    <row r="1266" spans="1:47" x14ac:dyDescent="0.3">
      <c r="A1266" t="s">
        <v>47</v>
      </c>
      <c r="B1266" t="s">
        <v>182</v>
      </c>
      <c r="C1266" t="s">
        <v>829</v>
      </c>
      <c r="D1266">
        <v>100237</v>
      </c>
      <c r="E1266" t="s">
        <v>2415</v>
      </c>
      <c r="F1266" t="s">
        <v>1120</v>
      </c>
      <c r="G1266" t="s">
        <v>2416</v>
      </c>
      <c r="H1266" t="s">
        <v>2423</v>
      </c>
      <c r="I1266" t="s">
        <v>54</v>
      </c>
      <c r="J1266" t="s">
        <v>1134</v>
      </c>
      <c r="K1266" t="s">
        <v>56</v>
      </c>
      <c r="L1266">
        <v>676</v>
      </c>
      <c r="M1266" t="s">
        <v>1627</v>
      </c>
      <c r="N1266">
        <v>0</v>
      </c>
      <c r="O1266" t="s">
        <v>58</v>
      </c>
      <c r="P1266" t="s">
        <v>59</v>
      </c>
      <c r="Q1266" t="s">
        <v>1135</v>
      </c>
      <c r="R1266" t="s">
        <v>1134</v>
      </c>
      <c r="S1266" s="1">
        <v>44423</v>
      </c>
      <c r="T1266" s="1">
        <v>44428</v>
      </c>
      <c r="U1266">
        <v>37501</v>
      </c>
      <c r="V1266" t="s">
        <v>61</v>
      </c>
      <c r="W1266" t="s">
        <v>2424</v>
      </c>
      <c r="X1266" s="1">
        <v>44440</v>
      </c>
      <c r="Y1266" t="s">
        <v>100</v>
      </c>
      <c r="Z1266">
        <v>430.56</v>
      </c>
      <c r="AA1266">
        <v>8</v>
      </c>
      <c r="AB1266">
        <v>34.44</v>
      </c>
      <c r="AC1266">
        <v>0</v>
      </c>
      <c r="AD1266">
        <v>465</v>
      </c>
      <c r="AE1266">
        <v>3161</v>
      </c>
      <c r="AF1266">
        <v>8618</v>
      </c>
      <c r="AG1266" t="s">
        <v>2419</v>
      </c>
      <c r="AH1266" t="s">
        <v>65</v>
      </c>
      <c r="AI1266" t="s">
        <v>65</v>
      </c>
      <c r="AJ1266" t="s">
        <v>66</v>
      </c>
      <c r="AK1266" t="s">
        <v>66</v>
      </c>
      <c r="AL1266" t="s">
        <v>66</v>
      </c>
      <c r="AM1266" s="2" t="str">
        <f>HYPERLINK("https://transparencia.cidesi.mx/comprobantes/2021/CQ2100720 /C8F752_MOAE640518MK5.pdf")</f>
        <v>https://transparencia.cidesi.mx/comprobantes/2021/CQ2100720 /C8F752_MOAE640518MK5.pdf</v>
      </c>
      <c r="AN1266" t="str">
        <f>HYPERLINK("https://transparencia.cidesi.mx/comprobantes/2021/CQ2100720 /C8F752_MOAE640518MK5.pdf")</f>
        <v>https://transparencia.cidesi.mx/comprobantes/2021/CQ2100720 /C8F752_MOAE640518MK5.pdf</v>
      </c>
      <c r="AO1266" t="str">
        <f>HYPERLINK("https://transparencia.cidesi.mx/comprobantes/2021/CQ2100720 /C8F752_MOAE640518MK5.xml")</f>
        <v>https://transparencia.cidesi.mx/comprobantes/2021/CQ2100720 /C8F752_MOAE640518MK5.xml</v>
      </c>
      <c r="AP1266" t="s">
        <v>2425</v>
      </c>
      <c r="AQ1266" t="s">
        <v>1148</v>
      </c>
      <c r="AR1266" t="s">
        <v>1149</v>
      </c>
      <c r="AS1266" t="s">
        <v>1150</v>
      </c>
      <c r="AT1266" s="1">
        <v>44440</v>
      </c>
      <c r="AU1266" t="s">
        <v>73</v>
      </c>
    </row>
    <row r="1267" spans="1:47" x14ac:dyDescent="0.3">
      <c r="A1267" t="s">
        <v>47</v>
      </c>
      <c r="B1267" t="s">
        <v>182</v>
      </c>
      <c r="C1267" t="s">
        <v>829</v>
      </c>
      <c r="D1267">
        <v>100237</v>
      </c>
      <c r="E1267" t="s">
        <v>2415</v>
      </c>
      <c r="F1267" t="s">
        <v>1120</v>
      </c>
      <c r="G1267" t="s">
        <v>2416</v>
      </c>
      <c r="H1267" t="s">
        <v>2426</v>
      </c>
      <c r="I1267" t="s">
        <v>54</v>
      </c>
      <c r="J1267" t="s">
        <v>2427</v>
      </c>
      <c r="K1267" t="s">
        <v>56</v>
      </c>
      <c r="L1267">
        <v>676</v>
      </c>
      <c r="M1267" t="s">
        <v>1627</v>
      </c>
      <c r="N1267">
        <v>0</v>
      </c>
      <c r="O1267" t="s">
        <v>58</v>
      </c>
      <c r="P1267" t="s">
        <v>59</v>
      </c>
      <c r="Q1267" t="s">
        <v>189</v>
      </c>
      <c r="R1267" t="s">
        <v>2427</v>
      </c>
      <c r="S1267" s="1">
        <v>44425</v>
      </c>
      <c r="T1267" s="1">
        <v>44425</v>
      </c>
      <c r="U1267">
        <v>37104</v>
      </c>
      <c r="V1267" t="s">
        <v>471</v>
      </c>
      <c r="W1267" t="s">
        <v>2428</v>
      </c>
      <c r="X1267" s="1">
        <v>44433</v>
      </c>
      <c r="Y1267" t="s">
        <v>63</v>
      </c>
      <c r="Z1267">
        <v>6988</v>
      </c>
      <c r="AA1267">
        <v>16</v>
      </c>
      <c r="AB1267">
        <v>368</v>
      </c>
      <c r="AC1267">
        <v>0</v>
      </c>
      <c r="AD1267">
        <v>7356</v>
      </c>
      <c r="AE1267">
        <v>7356</v>
      </c>
      <c r="AF1267">
        <v>0</v>
      </c>
      <c r="AG1267" t="s">
        <v>2429</v>
      </c>
      <c r="AH1267" t="s">
        <v>66</v>
      </c>
      <c r="AI1267" t="s">
        <v>65</v>
      </c>
      <c r="AJ1267" t="s">
        <v>66</v>
      </c>
      <c r="AK1267" t="s">
        <v>66</v>
      </c>
      <c r="AL1267" t="s">
        <v>66</v>
      </c>
      <c r="AM1267" s="2" t="str">
        <f>HYPERLINK("https://transparencia.cidesi.mx/comprobantes/2021/CAQ210028 /C1F144071671_CVA041027H80.pdf")</f>
        <v>https://transparencia.cidesi.mx/comprobantes/2021/CAQ210028 /C1F144071671_CVA041027H80.pdf</v>
      </c>
      <c r="AN1267" t="str">
        <f>HYPERLINK("https://transparencia.cidesi.mx/comprobantes/2021/CAQ210028 /C1F144071671_CVA041027H80.pdf")</f>
        <v>https://transparencia.cidesi.mx/comprobantes/2021/CAQ210028 /C1F144071671_CVA041027H80.pdf</v>
      </c>
      <c r="AO1267" t="str">
        <f>HYPERLINK("https://transparencia.cidesi.mx/comprobantes/2021/CAQ210028 /C1F144071671_CVA041027H80.xml")</f>
        <v>https://transparencia.cidesi.mx/comprobantes/2021/CAQ210028 /C1F144071671_CVA041027H80.xml</v>
      </c>
      <c r="AP1267" t="s">
        <v>2430</v>
      </c>
      <c r="AQ1267" t="s">
        <v>1148</v>
      </c>
      <c r="AR1267" t="s">
        <v>2431</v>
      </c>
      <c r="AS1267" t="s">
        <v>2432</v>
      </c>
      <c r="AT1267" s="1">
        <v>44433</v>
      </c>
      <c r="AU1267" s="1">
        <v>44434</v>
      </c>
    </row>
    <row r="1268" spans="1:47" x14ac:dyDescent="0.3">
      <c r="A1268" t="s">
        <v>47</v>
      </c>
      <c r="B1268" t="s">
        <v>182</v>
      </c>
      <c r="C1268" t="s">
        <v>829</v>
      </c>
      <c r="D1268">
        <v>100237</v>
      </c>
      <c r="E1268" t="s">
        <v>2415</v>
      </c>
      <c r="F1268" t="s">
        <v>1120</v>
      </c>
      <c r="G1268" t="s">
        <v>2416</v>
      </c>
      <c r="H1268" t="s">
        <v>2433</v>
      </c>
      <c r="I1268" t="s">
        <v>54</v>
      </c>
      <c r="J1268" t="s">
        <v>589</v>
      </c>
      <c r="K1268" t="s">
        <v>56</v>
      </c>
      <c r="L1268">
        <v>0</v>
      </c>
      <c r="M1268" t="s">
        <v>73</v>
      </c>
      <c r="N1268">
        <v>0</v>
      </c>
      <c r="O1268" t="s">
        <v>58</v>
      </c>
      <c r="P1268" t="s">
        <v>59</v>
      </c>
      <c r="Q1268" t="s">
        <v>590</v>
      </c>
      <c r="R1268" t="s">
        <v>589</v>
      </c>
      <c r="S1268" s="1">
        <v>44462</v>
      </c>
      <c r="T1268" s="1">
        <v>44464</v>
      </c>
      <c r="U1268">
        <v>37501</v>
      </c>
      <c r="V1268" t="s">
        <v>61</v>
      </c>
      <c r="W1268" t="s">
        <v>2434</v>
      </c>
      <c r="X1268" s="1">
        <v>44473</v>
      </c>
      <c r="Y1268" t="s">
        <v>207</v>
      </c>
      <c r="Z1268">
        <v>262.93</v>
      </c>
      <c r="AA1268">
        <v>16</v>
      </c>
      <c r="AB1268">
        <v>42.07</v>
      </c>
      <c r="AC1268">
        <v>0</v>
      </c>
      <c r="AD1268">
        <v>305</v>
      </c>
      <c r="AE1268">
        <v>1506</v>
      </c>
      <c r="AF1268">
        <v>2727</v>
      </c>
      <c r="AG1268" t="s">
        <v>2419</v>
      </c>
      <c r="AH1268" t="s">
        <v>65</v>
      </c>
      <c r="AI1268" t="s">
        <v>65</v>
      </c>
      <c r="AJ1268" t="s">
        <v>66</v>
      </c>
      <c r="AK1268" t="s">
        <v>66</v>
      </c>
      <c r="AL1268" t="s">
        <v>66</v>
      </c>
      <c r="AM1268" s="2" t="str">
        <f>HYPERLINK("https://transparencia.cidesi.mx/comprobantes/2021/CQ2100932 /C160C3CA0_TIA1203081F7FF15543.pdf")</f>
        <v>https://transparencia.cidesi.mx/comprobantes/2021/CQ2100932 /C160C3CA0_TIA1203081F7FF15543.pdf</v>
      </c>
      <c r="AN1268" t="str">
        <f>HYPERLINK("https://transparencia.cidesi.mx/comprobantes/2021/CQ2100932 /C160C3CA0_TIA1203081F7FF15543.pdf")</f>
        <v>https://transparencia.cidesi.mx/comprobantes/2021/CQ2100932 /C160C3CA0_TIA1203081F7FF15543.pdf</v>
      </c>
      <c r="AO1268" t="str">
        <f>HYPERLINK("https://transparencia.cidesi.mx/comprobantes/2021/CQ2100932 /C160C3CA0_TIA1203081F7FF15543.xml")</f>
        <v>https://transparencia.cidesi.mx/comprobantes/2021/CQ2100932 /C160C3CA0_TIA1203081F7FF15543.xml</v>
      </c>
      <c r="AP1268" t="s">
        <v>2435</v>
      </c>
      <c r="AQ1268" t="s">
        <v>2436</v>
      </c>
      <c r="AR1268" t="s">
        <v>2437</v>
      </c>
      <c r="AS1268" t="s">
        <v>2438</v>
      </c>
      <c r="AT1268" s="1">
        <v>44473</v>
      </c>
      <c r="AU1268" t="s">
        <v>73</v>
      </c>
    </row>
    <row r="1269" spans="1:47" x14ac:dyDescent="0.3">
      <c r="A1269" t="s">
        <v>47</v>
      </c>
      <c r="B1269" t="s">
        <v>182</v>
      </c>
      <c r="C1269" t="s">
        <v>829</v>
      </c>
      <c r="D1269">
        <v>100237</v>
      </c>
      <c r="E1269" t="s">
        <v>2415</v>
      </c>
      <c r="F1269" t="s">
        <v>1120</v>
      </c>
      <c r="G1269" t="s">
        <v>2416</v>
      </c>
      <c r="H1269" t="s">
        <v>2433</v>
      </c>
      <c r="I1269" t="s">
        <v>54</v>
      </c>
      <c r="J1269" t="s">
        <v>589</v>
      </c>
      <c r="K1269" t="s">
        <v>56</v>
      </c>
      <c r="L1269">
        <v>0</v>
      </c>
      <c r="M1269" t="s">
        <v>73</v>
      </c>
      <c r="N1269">
        <v>0</v>
      </c>
      <c r="O1269" t="s">
        <v>58</v>
      </c>
      <c r="P1269" t="s">
        <v>59</v>
      </c>
      <c r="Q1269" t="s">
        <v>590</v>
      </c>
      <c r="R1269" t="s">
        <v>589</v>
      </c>
      <c r="S1269" s="1">
        <v>44462</v>
      </c>
      <c r="T1269" s="1">
        <v>44464</v>
      </c>
      <c r="U1269">
        <v>37501</v>
      </c>
      <c r="V1269" t="s">
        <v>61</v>
      </c>
      <c r="W1269" t="s">
        <v>2434</v>
      </c>
      <c r="X1269" s="1">
        <v>44473</v>
      </c>
      <c r="Y1269" t="s">
        <v>207</v>
      </c>
      <c r="Z1269">
        <v>235.34</v>
      </c>
      <c r="AA1269">
        <v>16</v>
      </c>
      <c r="AB1269">
        <v>37.659999999999997</v>
      </c>
      <c r="AC1269">
        <v>0</v>
      </c>
      <c r="AD1269">
        <v>273</v>
      </c>
      <c r="AE1269">
        <v>1506</v>
      </c>
      <c r="AF1269">
        <v>2727</v>
      </c>
      <c r="AG1269" t="s">
        <v>2419</v>
      </c>
      <c r="AH1269" t="s">
        <v>65</v>
      </c>
      <c r="AI1269" t="s">
        <v>65</v>
      </c>
      <c r="AJ1269" t="s">
        <v>66</v>
      </c>
      <c r="AK1269" t="s">
        <v>66</v>
      </c>
      <c r="AL1269" t="s">
        <v>66</v>
      </c>
      <c r="AM1269" s="2" t="str">
        <f>HYPERLINK("https://transparencia.cidesi.mx/comprobantes/2021/CQ2100932 /C2C39218_ORJ120907310.pdf")</f>
        <v>https://transparencia.cidesi.mx/comprobantes/2021/CQ2100932 /C2C39218_ORJ120907310.pdf</v>
      </c>
      <c r="AN1269" t="str">
        <f>HYPERLINK("https://transparencia.cidesi.mx/comprobantes/2021/CQ2100932 /C2C39218_ORJ120907310.pdf")</f>
        <v>https://transparencia.cidesi.mx/comprobantes/2021/CQ2100932 /C2C39218_ORJ120907310.pdf</v>
      </c>
      <c r="AO1269" t="str">
        <f>HYPERLINK("https://transparencia.cidesi.mx/comprobantes/2021/CQ2100932 /C2C39218_ORJ120907310.xml")</f>
        <v>https://transparencia.cidesi.mx/comprobantes/2021/CQ2100932 /C2C39218_ORJ120907310.xml</v>
      </c>
      <c r="AP1269" t="s">
        <v>2435</v>
      </c>
      <c r="AQ1269" t="s">
        <v>2436</v>
      </c>
      <c r="AR1269" t="s">
        <v>2437</v>
      </c>
      <c r="AS1269" t="s">
        <v>2438</v>
      </c>
      <c r="AT1269" s="1">
        <v>44473</v>
      </c>
      <c r="AU1269" t="s">
        <v>73</v>
      </c>
    </row>
    <row r="1270" spans="1:47" x14ac:dyDescent="0.3">
      <c r="A1270" t="s">
        <v>47</v>
      </c>
      <c r="B1270" t="s">
        <v>182</v>
      </c>
      <c r="C1270" t="s">
        <v>829</v>
      </c>
      <c r="D1270">
        <v>100237</v>
      </c>
      <c r="E1270" t="s">
        <v>2415</v>
      </c>
      <c r="F1270" t="s">
        <v>1120</v>
      </c>
      <c r="G1270" t="s">
        <v>2416</v>
      </c>
      <c r="H1270" t="s">
        <v>2433</v>
      </c>
      <c r="I1270" t="s">
        <v>54</v>
      </c>
      <c r="J1270" t="s">
        <v>589</v>
      </c>
      <c r="K1270" t="s">
        <v>56</v>
      </c>
      <c r="L1270">
        <v>0</v>
      </c>
      <c r="M1270" t="s">
        <v>73</v>
      </c>
      <c r="N1270">
        <v>0</v>
      </c>
      <c r="O1270" t="s">
        <v>58</v>
      </c>
      <c r="P1270" t="s">
        <v>59</v>
      </c>
      <c r="Q1270" t="s">
        <v>590</v>
      </c>
      <c r="R1270" t="s">
        <v>589</v>
      </c>
      <c r="S1270" s="1">
        <v>44462</v>
      </c>
      <c r="T1270" s="1">
        <v>44464</v>
      </c>
      <c r="U1270">
        <v>37501</v>
      </c>
      <c r="V1270" t="s">
        <v>104</v>
      </c>
      <c r="W1270" t="s">
        <v>2434</v>
      </c>
      <c r="X1270" s="1">
        <v>44473</v>
      </c>
      <c r="Y1270" t="s">
        <v>207</v>
      </c>
      <c r="Z1270">
        <v>550.85</v>
      </c>
      <c r="AA1270">
        <v>16</v>
      </c>
      <c r="AB1270">
        <v>99.15</v>
      </c>
      <c r="AC1270">
        <v>0</v>
      </c>
      <c r="AD1270">
        <v>650</v>
      </c>
      <c r="AE1270">
        <v>1506</v>
      </c>
      <c r="AF1270">
        <v>2727</v>
      </c>
      <c r="AG1270" t="s">
        <v>2439</v>
      </c>
      <c r="AH1270" t="s">
        <v>65</v>
      </c>
      <c r="AI1270" t="s">
        <v>65</v>
      </c>
      <c r="AJ1270" t="s">
        <v>66</v>
      </c>
      <c r="AK1270" t="s">
        <v>66</v>
      </c>
      <c r="AL1270" t="s">
        <v>66</v>
      </c>
      <c r="AM1270" s="2" t="str">
        <f>HYPERLINK("https://transparencia.cidesi.mx/comprobantes/2021/CQ2100932 /C3H27839_HBV9402222H0.pdf")</f>
        <v>https://transparencia.cidesi.mx/comprobantes/2021/CQ2100932 /C3H27839_HBV9402222H0.pdf</v>
      </c>
      <c r="AN1270" t="str">
        <f>HYPERLINK("https://transparencia.cidesi.mx/comprobantes/2021/CQ2100932 /C3H27839_HBV9402222H0.pdf")</f>
        <v>https://transparencia.cidesi.mx/comprobantes/2021/CQ2100932 /C3H27839_HBV9402222H0.pdf</v>
      </c>
      <c r="AO1270" t="str">
        <f>HYPERLINK("https://transparencia.cidesi.mx/comprobantes/2021/CQ2100932 /C3H27839_HBV9402222H0.xml")</f>
        <v>https://transparencia.cidesi.mx/comprobantes/2021/CQ2100932 /C3H27839_HBV9402222H0.xml</v>
      </c>
      <c r="AP1270" t="s">
        <v>2435</v>
      </c>
      <c r="AQ1270" t="s">
        <v>2436</v>
      </c>
      <c r="AR1270" t="s">
        <v>2437</v>
      </c>
      <c r="AS1270" t="s">
        <v>2438</v>
      </c>
      <c r="AT1270" s="1">
        <v>44473</v>
      </c>
      <c r="AU1270" t="s">
        <v>73</v>
      </c>
    </row>
    <row r="1271" spans="1:47" x14ac:dyDescent="0.3">
      <c r="A1271" t="s">
        <v>47</v>
      </c>
      <c r="B1271" t="s">
        <v>182</v>
      </c>
      <c r="C1271" t="s">
        <v>829</v>
      </c>
      <c r="D1271">
        <v>100237</v>
      </c>
      <c r="E1271" t="s">
        <v>2415</v>
      </c>
      <c r="F1271" t="s">
        <v>1120</v>
      </c>
      <c r="G1271" t="s">
        <v>2416</v>
      </c>
      <c r="H1271" t="s">
        <v>2433</v>
      </c>
      <c r="I1271" t="s">
        <v>54</v>
      </c>
      <c r="J1271" t="s">
        <v>589</v>
      </c>
      <c r="K1271" t="s">
        <v>56</v>
      </c>
      <c r="L1271">
        <v>0</v>
      </c>
      <c r="M1271" t="s">
        <v>73</v>
      </c>
      <c r="N1271">
        <v>0</v>
      </c>
      <c r="O1271" t="s">
        <v>58</v>
      </c>
      <c r="P1271" t="s">
        <v>59</v>
      </c>
      <c r="Q1271" t="s">
        <v>590</v>
      </c>
      <c r="R1271" t="s">
        <v>589</v>
      </c>
      <c r="S1271" s="1">
        <v>44462</v>
      </c>
      <c r="T1271" s="1">
        <v>44464</v>
      </c>
      <c r="U1271">
        <v>37501</v>
      </c>
      <c r="V1271" t="s">
        <v>61</v>
      </c>
      <c r="W1271" t="s">
        <v>2434</v>
      </c>
      <c r="X1271" s="1">
        <v>44473</v>
      </c>
      <c r="Y1271" t="s">
        <v>207</v>
      </c>
      <c r="Z1271">
        <v>137.07</v>
      </c>
      <c r="AA1271">
        <v>16</v>
      </c>
      <c r="AB1271">
        <v>21.93</v>
      </c>
      <c r="AC1271">
        <v>0</v>
      </c>
      <c r="AD1271">
        <v>159</v>
      </c>
      <c r="AE1271">
        <v>1506</v>
      </c>
      <c r="AF1271">
        <v>2727</v>
      </c>
      <c r="AG1271" t="s">
        <v>2419</v>
      </c>
      <c r="AH1271" t="s">
        <v>65</v>
      </c>
      <c r="AI1271" t="s">
        <v>65</v>
      </c>
      <c r="AJ1271" t="s">
        <v>66</v>
      </c>
      <c r="AK1271" t="s">
        <v>66</v>
      </c>
      <c r="AL1271" t="s">
        <v>66</v>
      </c>
      <c r="AM1271" s="2" t="str">
        <f>HYPERLINK("https://transparencia.cidesi.mx/comprobantes/2021/CQ2100932 /C4VMCON35682_GCP831026IGA.pdf")</f>
        <v>https://transparencia.cidesi.mx/comprobantes/2021/CQ2100932 /C4VMCON35682_GCP831026IGA.pdf</v>
      </c>
      <c r="AN1271" t="str">
        <f>HYPERLINK("https://transparencia.cidesi.mx/comprobantes/2021/CQ2100932 /C4VMCON35682_GCP831026IGA.pdf")</f>
        <v>https://transparencia.cidesi.mx/comprobantes/2021/CQ2100932 /C4VMCON35682_GCP831026IGA.pdf</v>
      </c>
      <c r="AO1271" t="str">
        <f>HYPERLINK("https://transparencia.cidesi.mx/comprobantes/2021/CQ2100932 /C4VMCON35682_GCP831026IGA.xml")</f>
        <v>https://transparencia.cidesi.mx/comprobantes/2021/CQ2100932 /C4VMCON35682_GCP831026IGA.xml</v>
      </c>
      <c r="AP1271" t="s">
        <v>2435</v>
      </c>
      <c r="AQ1271" t="s">
        <v>2436</v>
      </c>
      <c r="AR1271" t="s">
        <v>2437</v>
      </c>
      <c r="AS1271" t="s">
        <v>2438</v>
      </c>
      <c r="AT1271" s="1">
        <v>44473</v>
      </c>
      <c r="AU1271" t="s">
        <v>73</v>
      </c>
    </row>
    <row r="1272" spans="1:47" x14ac:dyDescent="0.3">
      <c r="A1272" t="s">
        <v>47</v>
      </c>
      <c r="B1272" t="s">
        <v>182</v>
      </c>
      <c r="C1272" t="s">
        <v>829</v>
      </c>
      <c r="D1272">
        <v>100237</v>
      </c>
      <c r="E1272" t="s">
        <v>2415</v>
      </c>
      <c r="F1272" t="s">
        <v>1120</v>
      </c>
      <c r="G1272" t="s">
        <v>2416</v>
      </c>
      <c r="H1272" t="s">
        <v>2433</v>
      </c>
      <c r="I1272" t="s">
        <v>54</v>
      </c>
      <c r="J1272" t="s">
        <v>589</v>
      </c>
      <c r="K1272" t="s">
        <v>56</v>
      </c>
      <c r="L1272">
        <v>0</v>
      </c>
      <c r="M1272" t="s">
        <v>73</v>
      </c>
      <c r="N1272">
        <v>0</v>
      </c>
      <c r="O1272" t="s">
        <v>58</v>
      </c>
      <c r="P1272" t="s">
        <v>59</v>
      </c>
      <c r="Q1272" t="s">
        <v>590</v>
      </c>
      <c r="R1272" t="s">
        <v>589</v>
      </c>
      <c r="S1272" s="1">
        <v>44462</v>
      </c>
      <c r="T1272" s="1">
        <v>44464</v>
      </c>
      <c r="U1272">
        <v>37501</v>
      </c>
      <c r="V1272" t="s">
        <v>61</v>
      </c>
      <c r="W1272" t="s">
        <v>2434</v>
      </c>
      <c r="X1272" s="1">
        <v>44473</v>
      </c>
      <c r="Y1272" t="s">
        <v>207</v>
      </c>
      <c r="Z1272">
        <v>102.59</v>
      </c>
      <c r="AA1272">
        <v>16</v>
      </c>
      <c r="AB1272">
        <v>16.41</v>
      </c>
      <c r="AC1272">
        <v>0</v>
      </c>
      <c r="AD1272">
        <v>119</v>
      </c>
      <c r="AE1272">
        <v>1506</v>
      </c>
      <c r="AF1272">
        <v>2727</v>
      </c>
      <c r="AG1272" t="s">
        <v>2419</v>
      </c>
      <c r="AH1272" t="s">
        <v>65</v>
      </c>
      <c r="AI1272" t="s">
        <v>65</v>
      </c>
      <c r="AJ1272" t="s">
        <v>66</v>
      </c>
      <c r="AK1272" t="s">
        <v>66</v>
      </c>
      <c r="AL1272" t="s">
        <v>66</v>
      </c>
      <c r="AM1272" s="2" t="str">
        <f>HYPERLINK("https://transparencia.cidesi.mx/comprobantes/2021/CQ2100932 /C5VMCON35683_GCP831026IGA.pdf")</f>
        <v>https://transparencia.cidesi.mx/comprobantes/2021/CQ2100932 /C5VMCON35683_GCP831026IGA.pdf</v>
      </c>
      <c r="AN1272" t="str">
        <f>HYPERLINK("https://transparencia.cidesi.mx/comprobantes/2021/CQ2100932 /C5VMCON35683_GCP831026IGA.pdf")</f>
        <v>https://transparencia.cidesi.mx/comprobantes/2021/CQ2100932 /C5VMCON35683_GCP831026IGA.pdf</v>
      </c>
      <c r="AO1272" t="str">
        <f>HYPERLINK("https://transparencia.cidesi.mx/comprobantes/2021/CQ2100932 /C5VMCON35683_GCP831026IGA.xml")</f>
        <v>https://transparencia.cidesi.mx/comprobantes/2021/CQ2100932 /C5VMCON35683_GCP831026IGA.xml</v>
      </c>
      <c r="AP1272" t="s">
        <v>2435</v>
      </c>
      <c r="AQ1272" t="s">
        <v>2436</v>
      </c>
      <c r="AR1272" t="s">
        <v>2437</v>
      </c>
      <c r="AS1272" t="s">
        <v>2438</v>
      </c>
      <c r="AT1272" s="1">
        <v>44473</v>
      </c>
      <c r="AU1272" t="s">
        <v>73</v>
      </c>
    </row>
    <row r="1273" spans="1:47" x14ac:dyDescent="0.3">
      <c r="A1273" t="s">
        <v>838</v>
      </c>
      <c r="B1273" t="s">
        <v>48</v>
      </c>
      <c r="C1273" t="s">
        <v>849</v>
      </c>
      <c r="D1273">
        <v>100265</v>
      </c>
      <c r="E1273" t="s">
        <v>2440</v>
      </c>
      <c r="F1273" t="s">
        <v>304</v>
      </c>
      <c r="G1273" t="s">
        <v>2291</v>
      </c>
      <c r="H1273" t="s">
        <v>2441</v>
      </c>
      <c r="I1273" t="s">
        <v>54</v>
      </c>
      <c r="J1273" t="s">
        <v>2442</v>
      </c>
      <c r="K1273" t="s">
        <v>56</v>
      </c>
      <c r="L1273">
        <v>0</v>
      </c>
      <c r="M1273" t="s">
        <v>73</v>
      </c>
      <c r="N1273">
        <v>0</v>
      </c>
      <c r="O1273" t="s">
        <v>58</v>
      </c>
      <c r="P1273" t="s">
        <v>59</v>
      </c>
      <c r="Q1273" t="s">
        <v>378</v>
      </c>
      <c r="R1273" t="s">
        <v>2442</v>
      </c>
      <c r="S1273" s="1">
        <v>44417</v>
      </c>
      <c r="T1273" s="1">
        <v>44419</v>
      </c>
      <c r="U1273">
        <v>37501</v>
      </c>
      <c r="V1273" t="s">
        <v>104</v>
      </c>
      <c r="W1273" t="s">
        <v>2443</v>
      </c>
      <c r="X1273" s="1">
        <v>44420</v>
      </c>
      <c r="Y1273" t="s">
        <v>63</v>
      </c>
      <c r="Z1273">
        <v>1590.87</v>
      </c>
      <c r="AA1273">
        <v>16</v>
      </c>
      <c r="AB1273">
        <v>247.13</v>
      </c>
      <c r="AC1273">
        <v>0</v>
      </c>
      <c r="AD1273">
        <v>1838</v>
      </c>
      <c r="AE1273">
        <v>2721</v>
      </c>
      <c r="AF1273">
        <v>2727</v>
      </c>
      <c r="AG1273" t="s">
        <v>2444</v>
      </c>
      <c r="AH1273" t="s">
        <v>65</v>
      </c>
      <c r="AI1273" t="s">
        <v>65</v>
      </c>
      <c r="AJ1273" t="s">
        <v>66</v>
      </c>
      <c r="AK1273" t="s">
        <v>66</v>
      </c>
      <c r="AL1273" t="s">
        <v>66</v>
      </c>
      <c r="AM1273" s="2" t="str">
        <f>HYPERLINK("https://transparencia.cidesi.mx/comprobantes/2021/CQ2100639 /C1F0000139032.pdf")</f>
        <v>https://transparencia.cidesi.mx/comprobantes/2021/CQ2100639 /C1F0000139032.pdf</v>
      </c>
      <c r="AN1273" t="str">
        <f>HYPERLINK("https://transparencia.cidesi.mx/comprobantes/2021/CQ2100639 /C1F0000139032.pdf")</f>
        <v>https://transparencia.cidesi.mx/comprobantes/2021/CQ2100639 /C1F0000139032.pdf</v>
      </c>
      <c r="AO1273" t="str">
        <f>HYPERLINK("https://transparencia.cidesi.mx/comprobantes/2021/CQ2100639 /C1F0000139032.xml")</f>
        <v>https://transparencia.cidesi.mx/comprobantes/2021/CQ2100639 /C1F0000139032.xml</v>
      </c>
      <c r="AP1273" t="s">
        <v>2445</v>
      </c>
      <c r="AQ1273" t="s">
        <v>2445</v>
      </c>
      <c r="AR1273" t="s">
        <v>2445</v>
      </c>
      <c r="AS1273" t="s">
        <v>2445</v>
      </c>
      <c r="AT1273" s="1">
        <v>44425</v>
      </c>
      <c r="AU1273" s="1">
        <v>44428</v>
      </c>
    </row>
    <row r="1274" spans="1:47" x14ac:dyDescent="0.3">
      <c r="A1274" t="s">
        <v>838</v>
      </c>
      <c r="B1274" t="s">
        <v>48</v>
      </c>
      <c r="C1274" t="s">
        <v>849</v>
      </c>
      <c r="D1274">
        <v>100265</v>
      </c>
      <c r="E1274" t="s">
        <v>2440</v>
      </c>
      <c r="F1274" t="s">
        <v>304</v>
      </c>
      <c r="G1274" t="s">
        <v>2291</v>
      </c>
      <c r="H1274" t="s">
        <v>2441</v>
      </c>
      <c r="I1274" t="s">
        <v>54</v>
      </c>
      <c r="J1274" t="s">
        <v>2442</v>
      </c>
      <c r="K1274" t="s">
        <v>56</v>
      </c>
      <c r="L1274">
        <v>0</v>
      </c>
      <c r="M1274" t="s">
        <v>73</v>
      </c>
      <c r="N1274">
        <v>0</v>
      </c>
      <c r="O1274" t="s">
        <v>58</v>
      </c>
      <c r="P1274" t="s">
        <v>59</v>
      </c>
      <c r="Q1274" t="s">
        <v>378</v>
      </c>
      <c r="R1274" t="s">
        <v>2442</v>
      </c>
      <c r="S1274" s="1">
        <v>44417</v>
      </c>
      <c r="T1274" s="1">
        <v>44419</v>
      </c>
      <c r="U1274">
        <v>37501</v>
      </c>
      <c r="V1274" t="s">
        <v>61</v>
      </c>
      <c r="W1274" t="s">
        <v>2443</v>
      </c>
      <c r="X1274" s="1">
        <v>44420</v>
      </c>
      <c r="Y1274" t="s">
        <v>63</v>
      </c>
      <c r="Z1274">
        <v>313.79000000000002</v>
      </c>
      <c r="AA1274">
        <v>16</v>
      </c>
      <c r="AB1274">
        <v>50.21</v>
      </c>
      <c r="AC1274">
        <v>37</v>
      </c>
      <c r="AD1274">
        <v>401</v>
      </c>
      <c r="AE1274">
        <v>2721</v>
      </c>
      <c r="AF1274">
        <v>2727</v>
      </c>
      <c r="AG1274" t="s">
        <v>2446</v>
      </c>
      <c r="AH1274" t="s">
        <v>65</v>
      </c>
      <c r="AI1274" t="s">
        <v>65</v>
      </c>
      <c r="AJ1274" t="s">
        <v>66</v>
      </c>
      <c r="AK1274" t="s">
        <v>66</v>
      </c>
      <c r="AL1274" t="s">
        <v>66</v>
      </c>
      <c r="AM1274" s="2" t="str">
        <f>HYPERLINK("https://transparencia.cidesi.mx/comprobantes/2021/CQ2100639 /C2CSLS296127_NDG071019LH4.pdf")</f>
        <v>https://transparencia.cidesi.mx/comprobantes/2021/CQ2100639 /C2CSLS296127_NDG071019LH4.pdf</v>
      </c>
      <c r="AN1274" t="str">
        <f>HYPERLINK("https://transparencia.cidesi.mx/comprobantes/2021/CQ2100639 /C2CSLS296127_NDG071019LH4.pdf")</f>
        <v>https://transparencia.cidesi.mx/comprobantes/2021/CQ2100639 /C2CSLS296127_NDG071019LH4.pdf</v>
      </c>
      <c r="AO1274" t="str">
        <f>HYPERLINK("https://transparencia.cidesi.mx/comprobantes/2021/CQ2100639 /C2CSLS296127_NDG071019LH4.xml")</f>
        <v>https://transparencia.cidesi.mx/comprobantes/2021/CQ2100639 /C2CSLS296127_NDG071019LH4.xml</v>
      </c>
      <c r="AP1274" t="s">
        <v>2445</v>
      </c>
      <c r="AQ1274" t="s">
        <v>2445</v>
      </c>
      <c r="AR1274" t="s">
        <v>2445</v>
      </c>
      <c r="AS1274" t="s">
        <v>2445</v>
      </c>
      <c r="AT1274" s="1">
        <v>44425</v>
      </c>
      <c r="AU1274" s="1">
        <v>44428</v>
      </c>
    </row>
    <row r="1275" spans="1:47" x14ac:dyDescent="0.3">
      <c r="A1275" t="s">
        <v>838</v>
      </c>
      <c r="B1275" t="s">
        <v>48</v>
      </c>
      <c r="C1275" t="s">
        <v>849</v>
      </c>
      <c r="D1275">
        <v>100265</v>
      </c>
      <c r="E1275" t="s">
        <v>2440</v>
      </c>
      <c r="F1275" t="s">
        <v>304</v>
      </c>
      <c r="G1275" t="s">
        <v>2291</v>
      </c>
      <c r="H1275" t="s">
        <v>2441</v>
      </c>
      <c r="I1275" t="s">
        <v>54</v>
      </c>
      <c r="J1275" t="s">
        <v>2442</v>
      </c>
      <c r="K1275" t="s">
        <v>56</v>
      </c>
      <c r="L1275">
        <v>0</v>
      </c>
      <c r="M1275" t="s">
        <v>73</v>
      </c>
      <c r="N1275">
        <v>0</v>
      </c>
      <c r="O1275" t="s">
        <v>58</v>
      </c>
      <c r="P1275" t="s">
        <v>59</v>
      </c>
      <c r="Q1275" t="s">
        <v>378</v>
      </c>
      <c r="R1275" t="s">
        <v>2442</v>
      </c>
      <c r="S1275" s="1">
        <v>44417</v>
      </c>
      <c r="T1275" s="1">
        <v>44419</v>
      </c>
      <c r="U1275">
        <v>37501</v>
      </c>
      <c r="V1275" t="s">
        <v>61</v>
      </c>
      <c r="W1275" t="s">
        <v>2443</v>
      </c>
      <c r="X1275" s="1">
        <v>44420</v>
      </c>
      <c r="Y1275" t="s">
        <v>63</v>
      </c>
      <c r="Z1275">
        <v>372.41</v>
      </c>
      <c r="AA1275">
        <v>16</v>
      </c>
      <c r="AB1275">
        <v>59.59</v>
      </c>
      <c r="AC1275">
        <v>50</v>
      </c>
      <c r="AD1275">
        <v>482</v>
      </c>
      <c r="AE1275">
        <v>2721</v>
      </c>
      <c r="AF1275">
        <v>2727</v>
      </c>
      <c r="AG1275" t="s">
        <v>2446</v>
      </c>
      <c r="AH1275" t="s">
        <v>65</v>
      </c>
      <c r="AI1275" t="s">
        <v>65</v>
      </c>
      <c r="AJ1275" t="s">
        <v>66</v>
      </c>
      <c r="AK1275" t="s">
        <v>66</v>
      </c>
      <c r="AL1275" t="s">
        <v>66</v>
      </c>
      <c r="AM1275" s="2" t="str">
        <f>HYPERLINK("https://transparencia.cidesi.mx/comprobantes/2021/CQ2100639 /C3SPB161213N69FFS8014.pdf")</f>
        <v>https://transparencia.cidesi.mx/comprobantes/2021/CQ2100639 /C3SPB161213N69FFS8014.pdf</v>
      </c>
      <c r="AN1275" t="str">
        <f>HYPERLINK("https://transparencia.cidesi.mx/comprobantes/2021/CQ2100639 /C3SPB161213N69FFS8014.pdf")</f>
        <v>https://transparencia.cidesi.mx/comprobantes/2021/CQ2100639 /C3SPB161213N69FFS8014.pdf</v>
      </c>
      <c r="AO1275" t="str">
        <f>HYPERLINK("https://transparencia.cidesi.mx/comprobantes/2021/CQ2100639 /C3SPB161213N69FFS8014.xml")</f>
        <v>https://transparencia.cidesi.mx/comprobantes/2021/CQ2100639 /C3SPB161213N69FFS8014.xml</v>
      </c>
      <c r="AP1275" t="s">
        <v>2445</v>
      </c>
      <c r="AQ1275" t="s">
        <v>2445</v>
      </c>
      <c r="AR1275" t="s">
        <v>2445</v>
      </c>
      <c r="AS1275" t="s">
        <v>2445</v>
      </c>
      <c r="AT1275" s="1">
        <v>44425</v>
      </c>
      <c r="AU1275" s="1">
        <v>44428</v>
      </c>
    </row>
    <row r="1276" spans="1:47" x14ac:dyDescent="0.3">
      <c r="A1276" t="s">
        <v>47</v>
      </c>
      <c r="B1276" t="s">
        <v>48</v>
      </c>
      <c r="C1276" t="s">
        <v>849</v>
      </c>
      <c r="D1276">
        <v>100338</v>
      </c>
      <c r="E1276" t="s">
        <v>2447</v>
      </c>
      <c r="F1276" t="s">
        <v>351</v>
      </c>
      <c r="G1276" t="s">
        <v>2448</v>
      </c>
      <c r="H1276" t="s">
        <v>2449</v>
      </c>
      <c r="I1276" t="s">
        <v>54</v>
      </c>
      <c r="J1276" t="s">
        <v>540</v>
      </c>
      <c r="K1276" t="s">
        <v>56</v>
      </c>
      <c r="L1276">
        <v>0</v>
      </c>
      <c r="M1276" t="s">
        <v>73</v>
      </c>
      <c r="N1276">
        <v>0</v>
      </c>
      <c r="O1276" t="s">
        <v>58</v>
      </c>
      <c r="P1276" t="s">
        <v>59</v>
      </c>
      <c r="Q1276" t="s">
        <v>60</v>
      </c>
      <c r="R1276" t="s">
        <v>540</v>
      </c>
      <c r="S1276" s="1">
        <v>44398</v>
      </c>
      <c r="T1276" s="1">
        <v>44398</v>
      </c>
      <c r="U1276">
        <v>37501</v>
      </c>
      <c r="V1276" t="s">
        <v>61</v>
      </c>
      <c r="W1276" t="s">
        <v>2450</v>
      </c>
      <c r="X1276" s="1">
        <v>44401</v>
      </c>
      <c r="Y1276" t="s">
        <v>63</v>
      </c>
      <c r="Z1276">
        <v>49.16</v>
      </c>
      <c r="AA1276">
        <v>16</v>
      </c>
      <c r="AB1276">
        <v>2.34</v>
      </c>
      <c r="AC1276">
        <v>0</v>
      </c>
      <c r="AD1276">
        <v>51.5</v>
      </c>
      <c r="AE1276">
        <v>51.5</v>
      </c>
      <c r="AF1276">
        <v>545</v>
      </c>
      <c r="AG1276" t="s">
        <v>2451</v>
      </c>
      <c r="AH1276" t="s">
        <v>65</v>
      </c>
      <c r="AI1276" t="s">
        <v>65</v>
      </c>
      <c r="AJ1276" t="s">
        <v>66</v>
      </c>
      <c r="AK1276" t="s">
        <v>66</v>
      </c>
      <c r="AL1276" t="s">
        <v>66</v>
      </c>
      <c r="AM1276" s="2" t="str">
        <f>HYPERLINK("https://transparencia.cidesi.mx/comprobantes/2021/CQ2100546 /C1FACTURA_1627154946971_338187313.pdf")</f>
        <v>https://transparencia.cidesi.mx/comprobantes/2021/CQ2100546 /C1FACTURA_1627154946971_338187313.pdf</v>
      </c>
      <c r="AN1276" t="str">
        <f>HYPERLINK("https://transparencia.cidesi.mx/comprobantes/2021/CQ2100546 /C1FACTURA_1627154946971_338187313.pdf")</f>
        <v>https://transparencia.cidesi.mx/comprobantes/2021/CQ2100546 /C1FACTURA_1627154946971_338187313.pdf</v>
      </c>
      <c r="AO1276" t="str">
        <f>HYPERLINK("https://transparencia.cidesi.mx/comprobantes/2021/CQ2100546 /C1FACTURA_1627154947751_338187313.xml")</f>
        <v>https://transparencia.cidesi.mx/comprobantes/2021/CQ2100546 /C1FACTURA_1627154947751_338187313.xml</v>
      </c>
      <c r="AP1276" t="s">
        <v>2452</v>
      </c>
      <c r="AQ1276" t="s">
        <v>2453</v>
      </c>
      <c r="AR1276" t="s">
        <v>2454</v>
      </c>
      <c r="AS1276" t="s">
        <v>2455</v>
      </c>
      <c r="AT1276" s="1">
        <v>44405</v>
      </c>
      <c r="AU1276" s="1">
        <v>44424</v>
      </c>
    </row>
    <row r="1277" spans="1:47" x14ac:dyDescent="0.3">
      <c r="A1277" t="s">
        <v>47</v>
      </c>
      <c r="B1277" t="s">
        <v>48</v>
      </c>
      <c r="C1277" t="s">
        <v>849</v>
      </c>
      <c r="D1277">
        <v>100338</v>
      </c>
      <c r="E1277" t="s">
        <v>2447</v>
      </c>
      <c r="F1277" t="s">
        <v>351</v>
      </c>
      <c r="G1277" t="s">
        <v>2448</v>
      </c>
      <c r="H1277" t="s">
        <v>2456</v>
      </c>
      <c r="I1277" t="s">
        <v>54</v>
      </c>
      <c r="J1277" t="s">
        <v>2457</v>
      </c>
      <c r="K1277" t="s">
        <v>56</v>
      </c>
      <c r="L1277">
        <v>0</v>
      </c>
      <c r="M1277" t="s">
        <v>73</v>
      </c>
      <c r="N1277">
        <v>0</v>
      </c>
      <c r="O1277" t="s">
        <v>58</v>
      </c>
      <c r="P1277" t="s">
        <v>59</v>
      </c>
      <c r="Q1277" t="s">
        <v>60</v>
      </c>
      <c r="R1277" t="s">
        <v>2457</v>
      </c>
      <c r="S1277" s="1">
        <v>44399</v>
      </c>
      <c r="T1277" s="1">
        <v>44400</v>
      </c>
      <c r="U1277">
        <v>37501</v>
      </c>
      <c r="V1277" t="s">
        <v>61</v>
      </c>
      <c r="W1277" t="s">
        <v>2458</v>
      </c>
      <c r="X1277" s="1">
        <v>44401</v>
      </c>
      <c r="Y1277" t="s">
        <v>63</v>
      </c>
      <c r="Z1277">
        <v>350.86</v>
      </c>
      <c r="AA1277">
        <v>16</v>
      </c>
      <c r="AB1277">
        <v>56.14</v>
      </c>
      <c r="AC1277">
        <v>0</v>
      </c>
      <c r="AD1277">
        <v>407</v>
      </c>
      <c r="AE1277">
        <v>1302.9000000000001</v>
      </c>
      <c r="AF1277">
        <v>1636</v>
      </c>
      <c r="AG1277" t="s">
        <v>2451</v>
      </c>
      <c r="AH1277" t="s">
        <v>65</v>
      </c>
      <c r="AI1277" t="s">
        <v>65</v>
      </c>
      <c r="AJ1277" t="s">
        <v>66</v>
      </c>
      <c r="AK1277" t="s">
        <v>66</v>
      </c>
      <c r="AL1277" t="s">
        <v>66</v>
      </c>
      <c r="AM1277" s="2" t="str">
        <f>HYPERLINK("https://transparencia.cidesi.mx/comprobantes/2021/CQ2100547 /C1SRO960830D42_PER1300.pdf")</f>
        <v>https://transparencia.cidesi.mx/comprobantes/2021/CQ2100547 /C1SRO960830D42_PER1300.pdf</v>
      </c>
      <c r="AN1277" t="str">
        <f>HYPERLINK("https://transparencia.cidesi.mx/comprobantes/2021/CQ2100547 /C1SRO960830D42_PER1300.pdf")</f>
        <v>https://transparencia.cidesi.mx/comprobantes/2021/CQ2100547 /C1SRO960830D42_PER1300.pdf</v>
      </c>
      <c r="AO1277" t="str">
        <f>HYPERLINK("https://transparencia.cidesi.mx/comprobantes/2021/CQ2100547 /C1SRO960830D42_PER1300.xml")</f>
        <v>https://transparencia.cidesi.mx/comprobantes/2021/CQ2100547 /C1SRO960830D42_PER1300.xml</v>
      </c>
      <c r="AP1277" t="s">
        <v>2459</v>
      </c>
      <c r="AQ1277" t="s">
        <v>2460</v>
      </c>
      <c r="AR1277" t="s">
        <v>2461</v>
      </c>
      <c r="AS1277" t="s">
        <v>2462</v>
      </c>
      <c r="AT1277" s="1">
        <v>44405</v>
      </c>
      <c r="AU1277" s="1">
        <v>44424</v>
      </c>
    </row>
    <row r="1278" spans="1:47" x14ac:dyDescent="0.3">
      <c r="A1278" t="s">
        <v>47</v>
      </c>
      <c r="B1278" t="s">
        <v>48</v>
      </c>
      <c r="C1278" t="s">
        <v>849</v>
      </c>
      <c r="D1278">
        <v>100338</v>
      </c>
      <c r="E1278" t="s">
        <v>2447</v>
      </c>
      <c r="F1278" t="s">
        <v>351</v>
      </c>
      <c r="G1278" t="s">
        <v>2448</v>
      </c>
      <c r="H1278" t="s">
        <v>2456</v>
      </c>
      <c r="I1278" t="s">
        <v>54</v>
      </c>
      <c r="J1278" t="s">
        <v>2457</v>
      </c>
      <c r="K1278" t="s">
        <v>56</v>
      </c>
      <c r="L1278">
        <v>0</v>
      </c>
      <c r="M1278" t="s">
        <v>73</v>
      </c>
      <c r="N1278">
        <v>0</v>
      </c>
      <c r="O1278" t="s">
        <v>58</v>
      </c>
      <c r="P1278" t="s">
        <v>59</v>
      </c>
      <c r="Q1278" t="s">
        <v>60</v>
      </c>
      <c r="R1278" t="s">
        <v>2457</v>
      </c>
      <c r="S1278" s="1">
        <v>44399</v>
      </c>
      <c r="T1278" s="1">
        <v>44400</v>
      </c>
      <c r="U1278">
        <v>37501</v>
      </c>
      <c r="V1278" t="s">
        <v>104</v>
      </c>
      <c r="W1278" t="s">
        <v>2458</v>
      </c>
      <c r="X1278" s="1">
        <v>44401</v>
      </c>
      <c r="Y1278" t="s">
        <v>63</v>
      </c>
      <c r="Z1278">
        <v>459.04</v>
      </c>
      <c r="AA1278">
        <v>16</v>
      </c>
      <c r="AB1278">
        <v>70.959999999999994</v>
      </c>
      <c r="AC1278">
        <v>0</v>
      </c>
      <c r="AD1278">
        <v>530</v>
      </c>
      <c r="AE1278">
        <v>1302.9000000000001</v>
      </c>
      <c r="AF1278">
        <v>1636</v>
      </c>
      <c r="AG1278" t="s">
        <v>2463</v>
      </c>
      <c r="AH1278" t="s">
        <v>65</v>
      </c>
      <c r="AI1278" t="s">
        <v>65</v>
      </c>
      <c r="AJ1278" t="s">
        <v>66</v>
      </c>
      <c r="AK1278" t="s">
        <v>66</v>
      </c>
      <c r="AL1278" t="s">
        <v>66</v>
      </c>
      <c r="AM1278" s="2" t="str">
        <f>HYPERLINK("https://transparencia.cidesi.mx/comprobantes/2021/CQ2100547 /C2HOTEL.pdf")</f>
        <v>https://transparencia.cidesi.mx/comprobantes/2021/CQ2100547 /C2HOTEL.pdf</v>
      </c>
      <c r="AN1278" t="str">
        <f>HYPERLINK("https://transparencia.cidesi.mx/comprobantes/2021/CQ2100547 /C2HOTEL.pdf")</f>
        <v>https://transparencia.cidesi.mx/comprobantes/2021/CQ2100547 /C2HOTEL.pdf</v>
      </c>
      <c r="AO1278" t="str">
        <f>HYPERLINK("https://transparencia.cidesi.mx/comprobantes/2021/CQ2100547 /C2HOTEL.xml")</f>
        <v>https://transparencia.cidesi.mx/comprobantes/2021/CQ2100547 /C2HOTEL.xml</v>
      </c>
      <c r="AP1278" t="s">
        <v>2459</v>
      </c>
      <c r="AQ1278" t="s">
        <v>2460</v>
      </c>
      <c r="AR1278" t="s">
        <v>2461</v>
      </c>
      <c r="AS1278" t="s">
        <v>2462</v>
      </c>
      <c r="AT1278" s="1">
        <v>44405</v>
      </c>
      <c r="AU1278" s="1">
        <v>44424</v>
      </c>
    </row>
    <row r="1279" spans="1:47" x14ac:dyDescent="0.3">
      <c r="A1279" t="s">
        <v>47</v>
      </c>
      <c r="B1279" t="s">
        <v>48</v>
      </c>
      <c r="C1279" t="s">
        <v>849</v>
      </c>
      <c r="D1279">
        <v>100338</v>
      </c>
      <c r="E1279" t="s">
        <v>2447</v>
      </c>
      <c r="F1279" t="s">
        <v>351</v>
      </c>
      <c r="G1279" t="s">
        <v>2448</v>
      </c>
      <c r="H1279" t="s">
        <v>2456</v>
      </c>
      <c r="I1279" t="s">
        <v>54</v>
      </c>
      <c r="J1279" t="s">
        <v>2457</v>
      </c>
      <c r="K1279" t="s">
        <v>56</v>
      </c>
      <c r="L1279">
        <v>0</v>
      </c>
      <c r="M1279" t="s">
        <v>73</v>
      </c>
      <c r="N1279">
        <v>0</v>
      </c>
      <c r="O1279" t="s">
        <v>58</v>
      </c>
      <c r="P1279" t="s">
        <v>59</v>
      </c>
      <c r="Q1279" t="s">
        <v>60</v>
      </c>
      <c r="R1279" t="s">
        <v>2457</v>
      </c>
      <c r="S1279" s="1">
        <v>44399</v>
      </c>
      <c r="T1279" s="1">
        <v>44400</v>
      </c>
      <c r="U1279">
        <v>37501</v>
      </c>
      <c r="V1279" t="s">
        <v>61</v>
      </c>
      <c r="W1279" t="s">
        <v>2458</v>
      </c>
      <c r="X1279" s="1">
        <v>44401</v>
      </c>
      <c r="Y1279" t="s">
        <v>63</v>
      </c>
      <c r="Z1279">
        <v>168.5</v>
      </c>
      <c r="AA1279">
        <v>16</v>
      </c>
      <c r="AB1279">
        <v>2</v>
      </c>
      <c r="AC1279">
        <v>0</v>
      </c>
      <c r="AD1279">
        <v>170.5</v>
      </c>
      <c r="AE1279">
        <v>1302.9000000000001</v>
      </c>
      <c r="AF1279">
        <v>1636</v>
      </c>
      <c r="AG1279" t="s">
        <v>2451</v>
      </c>
      <c r="AH1279" t="s">
        <v>65</v>
      </c>
      <c r="AI1279" t="s">
        <v>65</v>
      </c>
      <c r="AJ1279" t="s">
        <v>66</v>
      </c>
      <c r="AK1279" t="s">
        <v>66</v>
      </c>
      <c r="AL1279" t="s">
        <v>66</v>
      </c>
      <c r="AM1279" s="2" t="str">
        <f>HYPERLINK("https://transparencia.cidesi.mx/comprobantes/2021/CQ2100547 /C3OXXO 170.pdf")</f>
        <v>https://transparencia.cidesi.mx/comprobantes/2021/CQ2100547 /C3OXXO 170.pdf</v>
      </c>
      <c r="AN1279" t="str">
        <f>HYPERLINK("https://transparencia.cidesi.mx/comprobantes/2021/CQ2100547 /C3OXXO 170.pdf")</f>
        <v>https://transparencia.cidesi.mx/comprobantes/2021/CQ2100547 /C3OXXO 170.pdf</v>
      </c>
      <c r="AO1279" t="str">
        <f>HYPERLINK("https://transparencia.cidesi.mx/comprobantes/2021/CQ2100547 /C3OXXO 170.xml")</f>
        <v>https://transparencia.cidesi.mx/comprobantes/2021/CQ2100547 /C3OXXO 170.xml</v>
      </c>
      <c r="AP1279" t="s">
        <v>2459</v>
      </c>
      <c r="AQ1279" t="s">
        <v>2460</v>
      </c>
      <c r="AR1279" t="s">
        <v>2461</v>
      </c>
      <c r="AS1279" t="s">
        <v>2462</v>
      </c>
      <c r="AT1279" s="1">
        <v>44405</v>
      </c>
      <c r="AU1279" s="1">
        <v>44424</v>
      </c>
    </row>
    <row r="1280" spans="1:47" x14ac:dyDescent="0.3">
      <c r="A1280" t="s">
        <v>47</v>
      </c>
      <c r="B1280" t="s">
        <v>48</v>
      </c>
      <c r="C1280" t="s">
        <v>849</v>
      </c>
      <c r="D1280">
        <v>100338</v>
      </c>
      <c r="E1280" t="s">
        <v>2447</v>
      </c>
      <c r="F1280" t="s">
        <v>351</v>
      </c>
      <c r="G1280" t="s">
        <v>2448</v>
      </c>
      <c r="H1280" t="s">
        <v>2456</v>
      </c>
      <c r="I1280" t="s">
        <v>54</v>
      </c>
      <c r="J1280" t="s">
        <v>2457</v>
      </c>
      <c r="K1280" t="s">
        <v>56</v>
      </c>
      <c r="L1280">
        <v>0</v>
      </c>
      <c r="M1280" t="s">
        <v>73</v>
      </c>
      <c r="N1280">
        <v>0</v>
      </c>
      <c r="O1280" t="s">
        <v>58</v>
      </c>
      <c r="P1280" t="s">
        <v>59</v>
      </c>
      <c r="Q1280" t="s">
        <v>60</v>
      </c>
      <c r="R1280" t="s">
        <v>2457</v>
      </c>
      <c r="S1280" s="1">
        <v>44399</v>
      </c>
      <c r="T1280" s="1">
        <v>44400</v>
      </c>
      <c r="U1280">
        <v>37501</v>
      </c>
      <c r="V1280" t="s">
        <v>61</v>
      </c>
      <c r="W1280" t="s">
        <v>2458</v>
      </c>
      <c r="X1280" s="1">
        <v>44401</v>
      </c>
      <c r="Y1280" t="s">
        <v>63</v>
      </c>
      <c r="Z1280">
        <v>91.09</v>
      </c>
      <c r="AA1280">
        <v>16</v>
      </c>
      <c r="AB1280">
        <v>3.31</v>
      </c>
      <c r="AC1280">
        <v>0</v>
      </c>
      <c r="AD1280">
        <v>94.4</v>
      </c>
      <c r="AE1280">
        <v>1302.9000000000001</v>
      </c>
      <c r="AF1280">
        <v>1636</v>
      </c>
      <c r="AG1280" t="s">
        <v>2451</v>
      </c>
      <c r="AH1280" t="s">
        <v>65</v>
      </c>
      <c r="AI1280" t="s">
        <v>65</v>
      </c>
      <c r="AJ1280" t="s">
        <v>66</v>
      </c>
      <c r="AK1280" t="s">
        <v>66</v>
      </c>
      <c r="AL1280" t="s">
        <v>66</v>
      </c>
      <c r="AM1280" s="2" t="str">
        <f>HYPERLINK("https://transparencia.cidesi.mx/comprobantes/2021/CQ2100547 /C4OXXO 94.pdf")</f>
        <v>https://transparencia.cidesi.mx/comprobantes/2021/CQ2100547 /C4OXXO 94.pdf</v>
      </c>
      <c r="AN1280" t="str">
        <f>HYPERLINK("https://transparencia.cidesi.mx/comprobantes/2021/CQ2100547 /C4OXXO 94.pdf")</f>
        <v>https://transparencia.cidesi.mx/comprobantes/2021/CQ2100547 /C4OXXO 94.pdf</v>
      </c>
      <c r="AO1280" t="str">
        <f>HYPERLINK("https://transparencia.cidesi.mx/comprobantes/2021/CQ2100547 /C4OXXO 94.xml")</f>
        <v>https://transparencia.cidesi.mx/comprobantes/2021/CQ2100547 /C4OXXO 94.xml</v>
      </c>
      <c r="AP1280" t="s">
        <v>2459</v>
      </c>
      <c r="AQ1280" t="s">
        <v>2460</v>
      </c>
      <c r="AR1280" t="s">
        <v>2461</v>
      </c>
      <c r="AS1280" t="s">
        <v>2462</v>
      </c>
      <c r="AT1280" s="1">
        <v>44405</v>
      </c>
      <c r="AU1280" s="1">
        <v>44424</v>
      </c>
    </row>
    <row r="1281" spans="1:47" x14ac:dyDescent="0.3">
      <c r="A1281" t="s">
        <v>47</v>
      </c>
      <c r="B1281" t="s">
        <v>48</v>
      </c>
      <c r="C1281" t="s">
        <v>849</v>
      </c>
      <c r="D1281">
        <v>100338</v>
      </c>
      <c r="E1281" t="s">
        <v>2447</v>
      </c>
      <c r="F1281" t="s">
        <v>351</v>
      </c>
      <c r="G1281" t="s">
        <v>2448</v>
      </c>
      <c r="H1281" t="s">
        <v>2456</v>
      </c>
      <c r="I1281" t="s">
        <v>54</v>
      </c>
      <c r="J1281" t="s">
        <v>2457</v>
      </c>
      <c r="K1281" t="s">
        <v>56</v>
      </c>
      <c r="L1281">
        <v>0</v>
      </c>
      <c r="M1281" t="s">
        <v>73</v>
      </c>
      <c r="N1281">
        <v>0</v>
      </c>
      <c r="O1281" t="s">
        <v>58</v>
      </c>
      <c r="P1281" t="s">
        <v>59</v>
      </c>
      <c r="Q1281" t="s">
        <v>60</v>
      </c>
      <c r="R1281" t="s">
        <v>2457</v>
      </c>
      <c r="S1281" s="1">
        <v>44399</v>
      </c>
      <c r="T1281" s="1">
        <v>44400</v>
      </c>
      <c r="U1281">
        <v>37501</v>
      </c>
      <c r="V1281" t="s">
        <v>61</v>
      </c>
      <c r="W1281" t="s">
        <v>2458</v>
      </c>
      <c r="X1281" s="1">
        <v>44401</v>
      </c>
      <c r="Y1281" t="s">
        <v>63</v>
      </c>
      <c r="Z1281">
        <v>97.76</v>
      </c>
      <c r="AA1281">
        <v>16</v>
      </c>
      <c r="AB1281">
        <v>3.24</v>
      </c>
      <c r="AC1281">
        <v>0</v>
      </c>
      <c r="AD1281">
        <v>101</v>
      </c>
      <c r="AE1281">
        <v>1302.9000000000001</v>
      </c>
      <c r="AF1281">
        <v>1636</v>
      </c>
      <c r="AG1281" t="s">
        <v>2451</v>
      </c>
      <c r="AH1281" t="s">
        <v>65</v>
      </c>
      <c r="AI1281" t="s">
        <v>65</v>
      </c>
      <c r="AJ1281" t="s">
        <v>66</v>
      </c>
      <c r="AK1281" t="s">
        <v>66</v>
      </c>
      <c r="AL1281" t="s">
        <v>66</v>
      </c>
      <c r="AM1281" s="2" t="str">
        <f>HYPERLINK("https://transparencia.cidesi.mx/comprobantes/2021/CQ2100547 /C5OXXO101.pdf")</f>
        <v>https://transparencia.cidesi.mx/comprobantes/2021/CQ2100547 /C5OXXO101.pdf</v>
      </c>
      <c r="AN1281" t="str">
        <f>HYPERLINK("https://transparencia.cidesi.mx/comprobantes/2021/CQ2100547 /C5OXXO101.pdf")</f>
        <v>https://transparencia.cidesi.mx/comprobantes/2021/CQ2100547 /C5OXXO101.pdf</v>
      </c>
      <c r="AO1281" t="str">
        <f>HYPERLINK("https://transparencia.cidesi.mx/comprobantes/2021/CQ2100547 /C5OXXO 101.xml")</f>
        <v>https://transparencia.cidesi.mx/comprobantes/2021/CQ2100547 /C5OXXO 101.xml</v>
      </c>
      <c r="AP1281" t="s">
        <v>2459</v>
      </c>
      <c r="AQ1281" t="s">
        <v>2460</v>
      </c>
      <c r="AR1281" t="s">
        <v>2461</v>
      </c>
      <c r="AS1281" t="s">
        <v>2462</v>
      </c>
      <c r="AT1281" s="1">
        <v>44405</v>
      </c>
      <c r="AU1281" s="1">
        <v>44424</v>
      </c>
    </row>
    <row r="1282" spans="1:47" x14ac:dyDescent="0.3">
      <c r="A1282" t="s">
        <v>47</v>
      </c>
      <c r="B1282" t="s">
        <v>48</v>
      </c>
      <c r="C1282" t="s">
        <v>849</v>
      </c>
      <c r="D1282">
        <v>100338</v>
      </c>
      <c r="E1282" t="s">
        <v>2447</v>
      </c>
      <c r="F1282" t="s">
        <v>351</v>
      </c>
      <c r="G1282" t="s">
        <v>2448</v>
      </c>
      <c r="H1282" t="s">
        <v>2464</v>
      </c>
      <c r="I1282" t="s">
        <v>54</v>
      </c>
      <c r="J1282" t="s">
        <v>557</v>
      </c>
      <c r="K1282" t="s">
        <v>56</v>
      </c>
      <c r="L1282">
        <v>0</v>
      </c>
      <c r="M1282" t="s">
        <v>73</v>
      </c>
      <c r="N1282">
        <v>0</v>
      </c>
      <c r="O1282" t="s">
        <v>58</v>
      </c>
      <c r="P1282" t="s">
        <v>59</v>
      </c>
      <c r="Q1282" t="s">
        <v>60</v>
      </c>
      <c r="R1282" t="s">
        <v>557</v>
      </c>
      <c r="S1282" s="1">
        <v>44403</v>
      </c>
      <c r="T1282" s="1">
        <v>44406</v>
      </c>
      <c r="U1282">
        <v>37501</v>
      </c>
      <c r="V1282" t="s">
        <v>104</v>
      </c>
      <c r="W1282" t="s">
        <v>2465</v>
      </c>
      <c r="X1282" s="1">
        <v>44412</v>
      </c>
      <c r="Y1282" t="s">
        <v>63</v>
      </c>
      <c r="Z1282">
        <v>949.34</v>
      </c>
      <c r="AA1282">
        <v>16</v>
      </c>
      <c r="AB1282">
        <v>146.76</v>
      </c>
      <c r="AC1282">
        <v>0</v>
      </c>
      <c r="AD1282">
        <v>1096.0999999999999</v>
      </c>
      <c r="AE1282">
        <v>2014.6</v>
      </c>
      <c r="AF1282">
        <v>3818</v>
      </c>
      <c r="AG1282" t="s">
        <v>2463</v>
      </c>
      <c r="AH1282" t="s">
        <v>65</v>
      </c>
      <c r="AI1282" t="s">
        <v>65</v>
      </c>
      <c r="AJ1282" t="s">
        <v>66</v>
      </c>
      <c r="AK1282" t="s">
        <v>66</v>
      </c>
      <c r="AL1282" t="s">
        <v>66</v>
      </c>
      <c r="AM1282" s="2" t="str">
        <f>HYPERLINK("https://transparencia.cidesi.mx/comprobantes/2021/CQ2100599 /C1FFX121005C6A-27-07-2021080053667-F1XSUR155749.pdf")</f>
        <v>https://transparencia.cidesi.mx/comprobantes/2021/CQ2100599 /C1FFX121005C6A-27-07-2021080053667-F1XSUR155749.pdf</v>
      </c>
      <c r="AN1282" t="str">
        <f>HYPERLINK("https://transparencia.cidesi.mx/comprobantes/2021/CQ2100599 /C1FFX121005C6A-27-07-2021080053667-F1XSUR155749.pdf")</f>
        <v>https://transparencia.cidesi.mx/comprobantes/2021/CQ2100599 /C1FFX121005C6A-27-07-2021080053667-F1XSUR155749.pdf</v>
      </c>
      <c r="AO1282" t="str">
        <f>HYPERLINK("https://transparencia.cidesi.mx/comprobantes/2021/CQ2100599 /C1CFD_FE_F1XSUR155759.xml")</f>
        <v>https://transparencia.cidesi.mx/comprobantes/2021/CQ2100599 /C1CFD_FE_F1XSUR155759.xml</v>
      </c>
      <c r="AP1282" t="s">
        <v>2466</v>
      </c>
      <c r="AQ1282" t="s">
        <v>2467</v>
      </c>
      <c r="AR1282" t="s">
        <v>2468</v>
      </c>
      <c r="AS1282" t="s">
        <v>2469</v>
      </c>
      <c r="AT1282" s="1">
        <v>44414</v>
      </c>
      <c r="AU1282" s="1">
        <v>44424</v>
      </c>
    </row>
    <row r="1283" spans="1:47" x14ac:dyDescent="0.3">
      <c r="A1283" t="s">
        <v>47</v>
      </c>
      <c r="B1283" t="s">
        <v>48</v>
      </c>
      <c r="C1283" t="s">
        <v>849</v>
      </c>
      <c r="D1283">
        <v>100338</v>
      </c>
      <c r="E1283" t="s">
        <v>2447</v>
      </c>
      <c r="F1283" t="s">
        <v>351</v>
      </c>
      <c r="G1283" t="s">
        <v>2448</v>
      </c>
      <c r="H1283" t="s">
        <v>2464</v>
      </c>
      <c r="I1283" t="s">
        <v>54</v>
      </c>
      <c r="J1283" t="s">
        <v>557</v>
      </c>
      <c r="K1283" t="s">
        <v>56</v>
      </c>
      <c r="L1283">
        <v>0</v>
      </c>
      <c r="M1283" t="s">
        <v>73</v>
      </c>
      <c r="N1283">
        <v>0</v>
      </c>
      <c r="O1283" t="s">
        <v>58</v>
      </c>
      <c r="P1283" t="s">
        <v>59</v>
      </c>
      <c r="Q1283" t="s">
        <v>60</v>
      </c>
      <c r="R1283" t="s">
        <v>557</v>
      </c>
      <c r="S1283" s="1">
        <v>44403</v>
      </c>
      <c r="T1283" s="1">
        <v>44406</v>
      </c>
      <c r="U1283">
        <v>37501</v>
      </c>
      <c r="V1283" t="s">
        <v>61</v>
      </c>
      <c r="W1283" t="s">
        <v>2465</v>
      </c>
      <c r="X1283" s="1">
        <v>44412</v>
      </c>
      <c r="Y1283" t="s">
        <v>63</v>
      </c>
      <c r="Z1283">
        <v>561.21</v>
      </c>
      <c r="AA1283">
        <v>16</v>
      </c>
      <c r="AB1283">
        <v>89.79</v>
      </c>
      <c r="AC1283">
        <v>0</v>
      </c>
      <c r="AD1283">
        <v>651</v>
      </c>
      <c r="AE1283">
        <v>2014.6</v>
      </c>
      <c r="AF1283">
        <v>3818</v>
      </c>
      <c r="AG1283" t="s">
        <v>2451</v>
      </c>
      <c r="AH1283" t="s">
        <v>65</v>
      </c>
      <c r="AI1283" t="s">
        <v>65</v>
      </c>
      <c r="AJ1283" t="s">
        <v>66</v>
      </c>
      <c r="AK1283" t="s">
        <v>66</v>
      </c>
      <c r="AL1283" t="s">
        <v>66</v>
      </c>
      <c r="AM1283" s="2" t="str">
        <f>HYPERLINK("https://transparencia.cidesi.mx/comprobantes/2021/CQ2100599 /C2A1760.pdf")</f>
        <v>https://transparencia.cidesi.mx/comprobantes/2021/CQ2100599 /C2A1760.pdf</v>
      </c>
      <c r="AN1283" t="str">
        <f>HYPERLINK("https://transparencia.cidesi.mx/comprobantes/2021/CQ2100599 /C2A1760.pdf")</f>
        <v>https://transparencia.cidesi.mx/comprobantes/2021/CQ2100599 /C2A1760.pdf</v>
      </c>
      <c r="AO1283" t="str">
        <f>HYPERLINK("https://transparencia.cidesi.mx/comprobantes/2021/CQ2100599 /C2A1760.xml")</f>
        <v>https://transparencia.cidesi.mx/comprobantes/2021/CQ2100599 /C2A1760.xml</v>
      </c>
      <c r="AP1283" t="s">
        <v>2466</v>
      </c>
      <c r="AQ1283" t="s">
        <v>2467</v>
      </c>
      <c r="AR1283" t="s">
        <v>2468</v>
      </c>
      <c r="AS1283" t="s">
        <v>2469</v>
      </c>
      <c r="AT1283" s="1">
        <v>44414</v>
      </c>
      <c r="AU1283" s="1">
        <v>44424</v>
      </c>
    </row>
    <row r="1284" spans="1:47" x14ac:dyDescent="0.3">
      <c r="A1284" t="s">
        <v>47</v>
      </c>
      <c r="B1284" t="s">
        <v>48</v>
      </c>
      <c r="C1284" t="s">
        <v>849</v>
      </c>
      <c r="D1284">
        <v>100338</v>
      </c>
      <c r="E1284" t="s">
        <v>2447</v>
      </c>
      <c r="F1284" t="s">
        <v>351</v>
      </c>
      <c r="G1284" t="s">
        <v>2448</v>
      </c>
      <c r="H1284" t="s">
        <v>2464</v>
      </c>
      <c r="I1284" t="s">
        <v>54</v>
      </c>
      <c r="J1284" t="s">
        <v>557</v>
      </c>
      <c r="K1284" t="s">
        <v>56</v>
      </c>
      <c r="L1284">
        <v>0</v>
      </c>
      <c r="M1284" t="s">
        <v>73</v>
      </c>
      <c r="N1284">
        <v>0</v>
      </c>
      <c r="O1284" t="s">
        <v>58</v>
      </c>
      <c r="P1284" t="s">
        <v>59</v>
      </c>
      <c r="Q1284" t="s">
        <v>60</v>
      </c>
      <c r="R1284" t="s">
        <v>557</v>
      </c>
      <c r="S1284" s="1">
        <v>44403</v>
      </c>
      <c r="T1284" s="1">
        <v>44406</v>
      </c>
      <c r="U1284">
        <v>37501</v>
      </c>
      <c r="V1284" t="s">
        <v>61</v>
      </c>
      <c r="W1284" t="s">
        <v>2465</v>
      </c>
      <c r="X1284" s="1">
        <v>44412</v>
      </c>
      <c r="Y1284" t="s">
        <v>63</v>
      </c>
      <c r="Z1284">
        <v>160</v>
      </c>
      <c r="AA1284">
        <v>0</v>
      </c>
      <c r="AB1284">
        <v>0</v>
      </c>
      <c r="AC1284">
        <v>0</v>
      </c>
      <c r="AD1284">
        <v>160</v>
      </c>
      <c r="AE1284">
        <v>2014.6</v>
      </c>
      <c r="AF1284">
        <v>3818</v>
      </c>
      <c r="AG1284" t="s">
        <v>2451</v>
      </c>
      <c r="AH1284" t="s">
        <v>65</v>
      </c>
      <c r="AI1284" t="s">
        <v>65</v>
      </c>
      <c r="AJ1284" t="s">
        <v>66</v>
      </c>
      <c r="AK1284" t="s">
        <v>66</v>
      </c>
      <c r="AL1284" t="s">
        <v>66</v>
      </c>
      <c r="AM1284" s="2" t="str">
        <f>HYPERLINK("https://transparencia.cidesi.mx/comprobantes/2021/CQ2100599 /C3OXXO.pdf")</f>
        <v>https://transparencia.cidesi.mx/comprobantes/2021/CQ2100599 /C3OXXO.pdf</v>
      </c>
      <c r="AN1284" t="str">
        <f>HYPERLINK("https://transparencia.cidesi.mx/comprobantes/2021/CQ2100599 /C3OXXO.pdf")</f>
        <v>https://transparencia.cidesi.mx/comprobantes/2021/CQ2100599 /C3OXXO.pdf</v>
      </c>
      <c r="AO1284" t="str">
        <f>HYPERLINK("https://transparencia.cidesi.mx/comprobantes/2021/CQ2100599 /C3OXXO.xml")</f>
        <v>https://transparencia.cidesi.mx/comprobantes/2021/CQ2100599 /C3OXXO.xml</v>
      </c>
      <c r="AP1284" t="s">
        <v>2466</v>
      </c>
      <c r="AQ1284" t="s">
        <v>2467</v>
      </c>
      <c r="AR1284" t="s">
        <v>2468</v>
      </c>
      <c r="AS1284" t="s">
        <v>2469</v>
      </c>
      <c r="AT1284" s="1">
        <v>44414</v>
      </c>
      <c r="AU1284" s="1">
        <v>44424</v>
      </c>
    </row>
    <row r="1285" spans="1:47" x14ac:dyDescent="0.3">
      <c r="A1285" t="s">
        <v>47</v>
      </c>
      <c r="B1285" t="s">
        <v>48</v>
      </c>
      <c r="C1285" t="s">
        <v>849</v>
      </c>
      <c r="D1285">
        <v>100338</v>
      </c>
      <c r="E1285" t="s">
        <v>2447</v>
      </c>
      <c r="F1285" t="s">
        <v>351</v>
      </c>
      <c r="G1285" t="s">
        <v>2448</v>
      </c>
      <c r="H1285" t="s">
        <v>2464</v>
      </c>
      <c r="I1285" t="s">
        <v>54</v>
      </c>
      <c r="J1285" t="s">
        <v>557</v>
      </c>
      <c r="K1285" t="s">
        <v>56</v>
      </c>
      <c r="L1285">
        <v>0</v>
      </c>
      <c r="M1285" t="s">
        <v>73</v>
      </c>
      <c r="N1285">
        <v>0</v>
      </c>
      <c r="O1285" t="s">
        <v>58</v>
      </c>
      <c r="P1285" t="s">
        <v>59</v>
      </c>
      <c r="Q1285" t="s">
        <v>60</v>
      </c>
      <c r="R1285" t="s">
        <v>557</v>
      </c>
      <c r="S1285" s="1">
        <v>44403</v>
      </c>
      <c r="T1285" s="1">
        <v>44406</v>
      </c>
      <c r="U1285">
        <v>37501</v>
      </c>
      <c r="V1285" t="s">
        <v>61</v>
      </c>
      <c r="W1285" t="s">
        <v>2465</v>
      </c>
      <c r="X1285" s="1">
        <v>44412</v>
      </c>
      <c r="Y1285" t="s">
        <v>63</v>
      </c>
      <c r="Z1285">
        <v>100.47</v>
      </c>
      <c r="AA1285">
        <v>16</v>
      </c>
      <c r="AB1285">
        <v>7.03</v>
      </c>
      <c r="AC1285">
        <v>0</v>
      </c>
      <c r="AD1285">
        <v>107.5</v>
      </c>
      <c r="AE1285">
        <v>2014.6</v>
      </c>
      <c r="AF1285">
        <v>3818</v>
      </c>
      <c r="AG1285" t="s">
        <v>2451</v>
      </c>
      <c r="AH1285" t="s">
        <v>65</v>
      </c>
      <c r="AI1285" t="s">
        <v>65</v>
      </c>
      <c r="AJ1285" t="s">
        <v>66</v>
      </c>
      <c r="AK1285" t="s">
        <v>66</v>
      </c>
      <c r="AL1285" t="s">
        <v>66</v>
      </c>
      <c r="AM1285" s="2" t="str">
        <f>HYPERLINK("https://transparencia.cidesi.mx/comprobantes/2021/CQ2100599 /C4OXXO 108.pdf")</f>
        <v>https://transparencia.cidesi.mx/comprobantes/2021/CQ2100599 /C4OXXO 108.pdf</v>
      </c>
      <c r="AN1285" t="str">
        <f>HYPERLINK("https://transparencia.cidesi.mx/comprobantes/2021/CQ2100599 /C4OXXO 108.pdf")</f>
        <v>https://transparencia.cidesi.mx/comprobantes/2021/CQ2100599 /C4OXXO 108.pdf</v>
      </c>
      <c r="AO1285" t="str">
        <f>HYPERLINK("https://transparencia.cidesi.mx/comprobantes/2021/CQ2100599 /C4OXXO 108.xml")</f>
        <v>https://transparencia.cidesi.mx/comprobantes/2021/CQ2100599 /C4OXXO 108.xml</v>
      </c>
      <c r="AP1285" t="s">
        <v>2466</v>
      </c>
      <c r="AQ1285" t="s">
        <v>2467</v>
      </c>
      <c r="AR1285" t="s">
        <v>2468</v>
      </c>
      <c r="AS1285" t="s">
        <v>2469</v>
      </c>
      <c r="AT1285" s="1">
        <v>44414</v>
      </c>
      <c r="AU1285" s="1">
        <v>44424</v>
      </c>
    </row>
    <row r="1286" spans="1:47" x14ac:dyDescent="0.3">
      <c r="A1286" t="s">
        <v>47</v>
      </c>
      <c r="B1286" t="s">
        <v>48</v>
      </c>
      <c r="C1286" t="s">
        <v>849</v>
      </c>
      <c r="D1286">
        <v>100338</v>
      </c>
      <c r="E1286" t="s">
        <v>2447</v>
      </c>
      <c r="F1286" t="s">
        <v>351</v>
      </c>
      <c r="G1286" t="s">
        <v>2448</v>
      </c>
      <c r="H1286" t="s">
        <v>2470</v>
      </c>
      <c r="I1286" t="s">
        <v>54</v>
      </c>
      <c r="J1286" t="s">
        <v>2250</v>
      </c>
      <c r="K1286" t="s">
        <v>56</v>
      </c>
      <c r="L1286">
        <v>0</v>
      </c>
      <c r="M1286" t="s">
        <v>73</v>
      </c>
      <c r="N1286">
        <v>0</v>
      </c>
      <c r="O1286" t="s">
        <v>58</v>
      </c>
      <c r="P1286" t="s">
        <v>59</v>
      </c>
      <c r="Q1286" t="s">
        <v>274</v>
      </c>
      <c r="R1286" t="s">
        <v>2250</v>
      </c>
      <c r="S1286" s="1">
        <v>44427</v>
      </c>
      <c r="T1286" s="1">
        <v>44432</v>
      </c>
      <c r="U1286">
        <v>37501</v>
      </c>
      <c r="V1286" t="s">
        <v>61</v>
      </c>
      <c r="W1286" t="s">
        <v>2471</v>
      </c>
      <c r="X1286" s="1">
        <v>44439</v>
      </c>
      <c r="Y1286" t="s">
        <v>63</v>
      </c>
      <c r="Z1286">
        <v>420.68</v>
      </c>
      <c r="AA1286">
        <v>16</v>
      </c>
      <c r="AB1286">
        <v>67.31</v>
      </c>
      <c r="AC1286">
        <v>0</v>
      </c>
      <c r="AD1286">
        <v>487.99</v>
      </c>
      <c r="AE1286">
        <v>5242.75</v>
      </c>
      <c r="AF1286">
        <v>6000</v>
      </c>
      <c r="AG1286" t="s">
        <v>2451</v>
      </c>
      <c r="AH1286" t="s">
        <v>65</v>
      </c>
      <c r="AI1286" t="s">
        <v>65</v>
      </c>
      <c r="AJ1286" t="s">
        <v>66</v>
      </c>
      <c r="AK1286" t="s">
        <v>66</v>
      </c>
      <c r="AL1286" t="s">
        <v>66</v>
      </c>
      <c r="AM1286" s="2" t="str">
        <f>HYPERLINK("https://transparencia.cidesi.mx/comprobantes/2021/CQ2100716 /C1fc55884F.pdf")</f>
        <v>https://transparencia.cidesi.mx/comprobantes/2021/CQ2100716 /C1fc55884F.pdf</v>
      </c>
      <c r="AN1286" t="str">
        <f>HYPERLINK("https://transparencia.cidesi.mx/comprobantes/2021/CQ2100716 /C1fc55884F.pdf")</f>
        <v>https://transparencia.cidesi.mx/comprobantes/2021/CQ2100716 /C1fc55884F.pdf</v>
      </c>
      <c r="AO1286" t="str">
        <f>HYPERLINK("https://transparencia.cidesi.mx/comprobantes/2021/CQ2100716 /C155884F_xml.xml")</f>
        <v>https://transparencia.cidesi.mx/comprobantes/2021/CQ2100716 /C155884F_xml.xml</v>
      </c>
      <c r="AP1286" t="s">
        <v>2250</v>
      </c>
      <c r="AQ1286" t="s">
        <v>2250</v>
      </c>
      <c r="AR1286" t="s">
        <v>2250</v>
      </c>
      <c r="AS1286" t="s">
        <v>2250</v>
      </c>
      <c r="AT1286" s="1">
        <v>44440</v>
      </c>
      <c r="AU1286" s="1">
        <v>44442</v>
      </c>
    </row>
    <row r="1287" spans="1:47" x14ac:dyDescent="0.3">
      <c r="A1287" t="s">
        <v>47</v>
      </c>
      <c r="B1287" t="s">
        <v>48</v>
      </c>
      <c r="C1287" t="s">
        <v>849</v>
      </c>
      <c r="D1287">
        <v>100338</v>
      </c>
      <c r="E1287" t="s">
        <v>2447</v>
      </c>
      <c r="F1287" t="s">
        <v>351</v>
      </c>
      <c r="G1287" t="s">
        <v>2448</v>
      </c>
      <c r="H1287" t="s">
        <v>2470</v>
      </c>
      <c r="I1287" t="s">
        <v>54</v>
      </c>
      <c r="J1287" t="s">
        <v>2250</v>
      </c>
      <c r="K1287" t="s">
        <v>56</v>
      </c>
      <c r="L1287">
        <v>0</v>
      </c>
      <c r="M1287" t="s">
        <v>73</v>
      </c>
      <c r="N1287">
        <v>0</v>
      </c>
      <c r="O1287" t="s">
        <v>58</v>
      </c>
      <c r="P1287" t="s">
        <v>59</v>
      </c>
      <c r="Q1287" t="s">
        <v>274</v>
      </c>
      <c r="R1287" t="s">
        <v>2250</v>
      </c>
      <c r="S1287" s="1">
        <v>44427</v>
      </c>
      <c r="T1287" s="1">
        <v>44432</v>
      </c>
      <c r="U1287">
        <v>37501</v>
      </c>
      <c r="V1287" t="s">
        <v>61</v>
      </c>
      <c r="W1287" t="s">
        <v>2471</v>
      </c>
      <c r="X1287" s="1">
        <v>44439</v>
      </c>
      <c r="Y1287" t="s">
        <v>63</v>
      </c>
      <c r="Z1287">
        <v>149.66999999999999</v>
      </c>
      <c r="AA1287">
        <v>16</v>
      </c>
      <c r="AB1287">
        <v>8.83</v>
      </c>
      <c r="AC1287">
        <v>0</v>
      </c>
      <c r="AD1287">
        <v>158.5</v>
      </c>
      <c r="AE1287">
        <v>5242.75</v>
      </c>
      <c r="AF1287">
        <v>6000</v>
      </c>
      <c r="AG1287" t="s">
        <v>2451</v>
      </c>
      <c r="AH1287" t="s">
        <v>65</v>
      </c>
      <c r="AI1287" t="s">
        <v>65</v>
      </c>
      <c r="AJ1287" t="s">
        <v>66</v>
      </c>
      <c r="AK1287" t="s">
        <v>66</v>
      </c>
      <c r="AL1287" t="s">
        <v>66</v>
      </c>
      <c r="AM1287" s="2" t="str">
        <f>HYPERLINK("https://transparencia.cidesi.mx/comprobantes/2021/CQ2100716 /C2FACTURA_1629677123339_341658369.pdf")</f>
        <v>https://transparencia.cidesi.mx/comprobantes/2021/CQ2100716 /C2FACTURA_1629677123339_341658369.pdf</v>
      </c>
      <c r="AN1287" t="str">
        <f>HYPERLINK("https://transparencia.cidesi.mx/comprobantes/2021/CQ2100716 /C2FACTURA_1629677123339_341658369.pdf")</f>
        <v>https://transparencia.cidesi.mx/comprobantes/2021/CQ2100716 /C2FACTURA_1629677123339_341658369.pdf</v>
      </c>
      <c r="AO1287" t="str">
        <f>HYPERLINK("https://transparencia.cidesi.mx/comprobantes/2021/CQ2100716 /C2FACTURA_1629677123339_341658369.xml")</f>
        <v>https://transparencia.cidesi.mx/comprobantes/2021/CQ2100716 /C2FACTURA_1629677123339_341658369.xml</v>
      </c>
      <c r="AP1287" t="s">
        <v>2250</v>
      </c>
      <c r="AQ1287" t="s">
        <v>2250</v>
      </c>
      <c r="AR1287" t="s">
        <v>2250</v>
      </c>
      <c r="AS1287" t="s">
        <v>2250</v>
      </c>
      <c r="AT1287" s="1">
        <v>44440</v>
      </c>
      <c r="AU1287" s="1">
        <v>44442</v>
      </c>
    </row>
    <row r="1288" spans="1:47" x14ac:dyDescent="0.3">
      <c r="A1288" t="s">
        <v>47</v>
      </c>
      <c r="B1288" t="s">
        <v>48</v>
      </c>
      <c r="C1288" t="s">
        <v>849</v>
      </c>
      <c r="D1288">
        <v>100338</v>
      </c>
      <c r="E1288" t="s">
        <v>2447</v>
      </c>
      <c r="F1288" t="s">
        <v>351</v>
      </c>
      <c r="G1288" t="s">
        <v>2448</v>
      </c>
      <c r="H1288" t="s">
        <v>2470</v>
      </c>
      <c r="I1288" t="s">
        <v>54</v>
      </c>
      <c r="J1288" t="s">
        <v>2250</v>
      </c>
      <c r="K1288" t="s">
        <v>56</v>
      </c>
      <c r="L1288">
        <v>0</v>
      </c>
      <c r="M1288" t="s">
        <v>73</v>
      </c>
      <c r="N1288">
        <v>0</v>
      </c>
      <c r="O1288" t="s">
        <v>58</v>
      </c>
      <c r="P1288" t="s">
        <v>59</v>
      </c>
      <c r="Q1288" t="s">
        <v>274</v>
      </c>
      <c r="R1288" t="s">
        <v>2250</v>
      </c>
      <c r="S1288" s="1">
        <v>44427</v>
      </c>
      <c r="T1288" s="1">
        <v>44432</v>
      </c>
      <c r="U1288">
        <v>37501</v>
      </c>
      <c r="V1288" t="s">
        <v>61</v>
      </c>
      <c r="W1288" t="s">
        <v>2471</v>
      </c>
      <c r="X1288" s="1">
        <v>44439</v>
      </c>
      <c r="Y1288" t="s">
        <v>63</v>
      </c>
      <c r="Z1288">
        <v>142.24</v>
      </c>
      <c r="AA1288">
        <v>16</v>
      </c>
      <c r="AB1288">
        <v>22.76</v>
      </c>
      <c r="AC1288">
        <v>0</v>
      </c>
      <c r="AD1288">
        <v>165</v>
      </c>
      <c r="AE1288">
        <v>5242.75</v>
      </c>
      <c r="AF1288">
        <v>6000</v>
      </c>
      <c r="AG1288" t="s">
        <v>2451</v>
      </c>
      <c r="AH1288" t="s">
        <v>65</v>
      </c>
      <c r="AI1288" t="s">
        <v>65</v>
      </c>
      <c r="AJ1288" t="s">
        <v>66</v>
      </c>
      <c r="AK1288" t="s">
        <v>66</v>
      </c>
      <c r="AL1288" t="s">
        <v>66</v>
      </c>
      <c r="AM1288" s="2" t="str">
        <f>HYPERLINK("https://transparencia.cidesi.mx/comprobantes/2021/CQ2100716 /C3FBKBV0000125160.pdf")</f>
        <v>https://transparencia.cidesi.mx/comprobantes/2021/CQ2100716 /C3FBKBV0000125160.pdf</v>
      </c>
      <c r="AN1288" t="str">
        <f>HYPERLINK("https://transparencia.cidesi.mx/comprobantes/2021/CQ2100716 /C3FBKBV0000125160.pdf")</f>
        <v>https://transparencia.cidesi.mx/comprobantes/2021/CQ2100716 /C3FBKBV0000125160.pdf</v>
      </c>
      <c r="AO1288" t="str">
        <f>HYPERLINK("https://transparencia.cidesi.mx/comprobantes/2021/CQ2100716 /C3FBKBV0000125160.xml")</f>
        <v>https://transparencia.cidesi.mx/comprobantes/2021/CQ2100716 /C3FBKBV0000125160.xml</v>
      </c>
      <c r="AP1288" t="s">
        <v>2250</v>
      </c>
      <c r="AQ1288" t="s">
        <v>2250</v>
      </c>
      <c r="AR1288" t="s">
        <v>2250</v>
      </c>
      <c r="AS1288" t="s">
        <v>2250</v>
      </c>
      <c r="AT1288" s="1">
        <v>44440</v>
      </c>
      <c r="AU1288" s="1">
        <v>44442</v>
      </c>
    </row>
    <row r="1289" spans="1:47" x14ac:dyDescent="0.3">
      <c r="A1289" t="s">
        <v>47</v>
      </c>
      <c r="B1289" t="s">
        <v>48</v>
      </c>
      <c r="C1289" t="s">
        <v>849</v>
      </c>
      <c r="D1289">
        <v>100338</v>
      </c>
      <c r="E1289" t="s">
        <v>2447</v>
      </c>
      <c r="F1289" t="s">
        <v>351</v>
      </c>
      <c r="G1289" t="s">
        <v>2448</v>
      </c>
      <c r="H1289" t="s">
        <v>2470</v>
      </c>
      <c r="I1289" t="s">
        <v>54</v>
      </c>
      <c r="J1289" t="s">
        <v>2250</v>
      </c>
      <c r="K1289" t="s">
        <v>56</v>
      </c>
      <c r="L1289">
        <v>0</v>
      </c>
      <c r="M1289" t="s">
        <v>73</v>
      </c>
      <c r="N1289">
        <v>0</v>
      </c>
      <c r="O1289" t="s">
        <v>58</v>
      </c>
      <c r="P1289" t="s">
        <v>59</v>
      </c>
      <c r="Q1289" t="s">
        <v>274</v>
      </c>
      <c r="R1289" t="s">
        <v>2250</v>
      </c>
      <c r="S1289" s="1">
        <v>44427</v>
      </c>
      <c r="T1289" s="1">
        <v>44432</v>
      </c>
      <c r="U1289">
        <v>37501</v>
      </c>
      <c r="V1289" t="s">
        <v>104</v>
      </c>
      <c r="W1289" t="s">
        <v>2471</v>
      </c>
      <c r="X1289" s="1">
        <v>44439</v>
      </c>
      <c r="Y1289" t="s">
        <v>63</v>
      </c>
      <c r="Z1289">
        <v>386.25</v>
      </c>
      <c r="AA1289">
        <v>16</v>
      </c>
      <c r="AB1289">
        <v>60</v>
      </c>
      <c r="AC1289">
        <v>0</v>
      </c>
      <c r="AD1289">
        <v>446.25</v>
      </c>
      <c r="AE1289">
        <v>5242.75</v>
      </c>
      <c r="AF1289">
        <v>6000</v>
      </c>
      <c r="AG1289" t="s">
        <v>2463</v>
      </c>
      <c r="AH1289" t="s">
        <v>65</v>
      </c>
      <c r="AI1289" t="s">
        <v>65</v>
      </c>
      <c r="AJ1289" t="s">
        <v>66</v>
      </c>
      <c r="AK1289" t="s">
        <v>66</v>
      </c>
      <c r="AL1289" t="s">
        <v>66</v>
      </c>
      <c r="AM1289" s="2" t="str">
        <f>HYPERLINK("https://transparencia.cidesi.mx/comprobantes/2021/CQ2100716 /C412320906.pdf")</f>
        <v>https://transparencia.cidesi.mx/comprobantes/2021/CQ2100716 /C412320906.pdf</v>
      </c>
      <c r="AN1289" t="str">
        <f>HYPERLINK("https://transparencia.cidesi.mx/comprobantes/2021/CQ2100716 /C412320906.pdf")</f>
        <v>https://transparencia.cidesi.mx/comprobantes/2021/CQ2100716 /C412320906.pdf</v>
      </c>
      <c r="AO1289" t="str">
        <f>HYPERLINK("https://transparencia.cidesi.mx/comprobantes/2021/CQ2100716 /C412320906_timbrado.xml")</f>
        <v>https://transparencia.cidesi.mx/comprobantes/2021/CQ2100716 /C412320906_timbrado.xml</v>
      </c>
      <c r="AP1289" t="s">
        <v>2250</v>
      </c>
      <c r="AQ1289" t="s">
        <v>2250</v>
      </c>
      <c r="AR1289" t="s">
        <v>2250</v>
      </c>
      <c r="AS1289" t="s">
        <v>2250</v>
      </c>
      <c r="AT1289" s="1">
        <v>44440</v>
      </c>
      <c r="AU1289" s="1">
        <v>44442</v>
      </c>
    </row>
    <row r="1290" spans="1:47" x14ac:dyDescent="0.3">
      <c r="A1290" t="s">
        <v>47</v>
      </c>
      <c r="B1290" t="s">
        <v>48</v>
      </c>
      <c r="C1290" t="s">
        <v>849</v>
      </c>
      <c r="D1290">
        <v>100338</v>
      </c>
      <c r="E1290" t="s">
        <v>2447</v>
      </c>
      <c r="F1290" t="s">
        <v>351</v>
      </c>
      <c r="G1290" t="s">
        <v>2448</v>
      </c>
      <c r="H1290" t="s">
        <v>2470</v>
      </c>
      <c r="I1290" t="s">
        <v>54</v>
      </c>
      <c r="J1290" t="s">
        <v>2250</v>
      </c>
      <c r="K1290" t="s">
        <v>56</v>
      </c>
      <c r="L1290">
        <v>0</v>
      </c>
      <c r="M1290" t="s">
        <v>73</v>
      </c>
      <c r="N1290">
        <v>0</v>
      </c>
      <c r="O1290" t="s">
        <v>58</v>
      </c>
      <c r="P1290" t="s">
        <v>59</v>
      </c>
      <c r="Q1290" t="s">
        <v>274</v>
      </c>
      <c r="R1290" t="s">
        <v>2250</v>
      </c>
      <c r="S1290" s="1">
        <v>44427</v>
      </c>
      <c r="T1290" s="1">
        <v>44432</v>
      </c>
      <c r="U1290">
        <v>37501</v>
      </c>
      <c r="V1290" t="s">
        <v>104</v>
      </c>
      <c r="W1290" t="s">
        <v>2471</v>
      </c>
      <c r="X1290" s="1">
        <v>44439</v>
      </c>
      <c r="Y1290" t="s">
        <v>63</v>
      </c>
      <c r="Z1290">
        <v>386.25</v>
      </c>
      <c r="AA1290">
        <v>16</v>
      </c>
      <c r="AB1290">
        <v>60</v>
      </c>
      <c r="AC1290">
        <v>0</v>
      </c>
      <c r="AD1290">
        <v>446.25</v>
      </c>
      <c r="AE1290">
        <v>5242.75</v>
      </c>
      <c r="AF1290">
        <v>6000</v>
      </c>
      <c r="AG1290" t="s">
        <v>2463</v>
      </c>
      <c r="AH1290" t="s">
        <v>65</v>
      </c>
      <c r="AI1290" t="s">
        <v>65</v>
      </c>
      <c r="AJ1290" t="s">
        <v>66</v>
      </c>
      <c r="AK1290" t="s">
        <v>66</v>
      </c>
      <c r="AL1290" t="s">
        <v>66</v>
      </c>
      <c r="AM1290" s="2" t="str">
        <f>HYPERLINK("https://transparencia.cidesi.mx/comprobantes/2021/CQ2100716 /C512334318.pdf")</f>
        <v>https://transparencia.cidesi.mx/comprobantes/2021/CQ2100716 /C512334318.pdf</v>
      </c>
      <c r="AN1290" t="str">
        <f>HYPERLINK("https://transparencia.cidesi.mx/comprobantes/2021/CQ2100716 /C512334318.pdf")</f>
        <v>https://transparencia.cidesi.mx/comprobantes/2021/CQ2100716 /C512334318.pdf</v>
      </c>
      <c r="AO1290" t="str">
        <f>HYPERLINK("https://transparencia.cidesi.mx/comprobantes/2021/CQ2100716 /C512334318_timbrado.xml")</f>
        <v>https://transparencia.cidesi.mx/comprobantes/2021/CQ2100716 /C512334318_timbrado.xml</v>
      </c>
      <c r="AP1290" t="s">
        <v>2250</v>
      </c>
      <c r="AQ1290" t="s">
        <v>2250</v>
      </c>
      <c r="AR1290" t="s">
        <v>2250</v>
      </c>
      <c r="AS1290" t="s">
        <v>2250</v>
      </c>
      <c r="AT1290" s="1">
        <v>44440</v>
      </c>
      <c r="AU1290" s="1">
        <v>44442</v>
      </c>
    </row>
    <row r="1291" spans="1:47" x14ac:dyDescent="0.3">
      <c r="A1291" t="s">
        <v>47</v>
      </c>
      <c r="B1291" t="s">
        <v>48</v>
      </c>
      <c r="C1291" t="s">
        <v>849</v>
      </c>
      <c r="D1291">
        <v>100338</v>
      </c>
      <c r="E1291" t="s">
        <v>2447</v>
      </c>
      <c r="F1291" t="s">
        <v>351</v>
      </c>
      <c r="G1291" t="s">
        <v>2448</v>
      </c>
      <c r="H1291" t="s">
        <v>2470</v>
      </c>
      <c r="I1291" t="s">
        <v>54</v>
      </c>
      <c r="J1291" t="s">
        <v>2250</v>
      </c>
      <c r="K1291" t="s">
        <v>56</v>
      </c>
      <c r="L1291">
        <v>0</v>
      </c>
      <c r="M1291" t="s">
        <v>73</v>
      </c>
      <c r="N1291">
        <v>0</v>
      </c>
      <c r="O1291" t="s">
        <v>58</v>
      </c>
      <c r="P1291" t="s">
        <v>59</v>
      </c>
      <c r="Q1291" t="s">
        <v>274</v>
      </c>
      <c r="R1291" t="s">
        <v>2250</v>
      </c>
      <c r="S1291" s="1">
        <v>44427</v>
      </c>
      <c r="T1291" s="1">
        <v>44432</v>
      </c>
      <c r="U1291">
        <v>37501</v>
      </c>
      <c r="V1291" t="s">
        <v>61</v>
      </c>
      <c r="W1291" t="s">
        <v>2471</v>
      </c>
      <c r="X1291" s="1">
        <v>44439</v>
      </c>
      <c r="Y1291" t="s">
        <v>63</v>
      </c>
      <c r="Z1291">
        <v>323.27999999999997</v>
      </c>
      <c r="AA1291">
        <v>16</v>
      </c>
      <c r="AB1291">
        <v>51.72</v>
      </c>
      <c r="AC1291">
        <v>0</v>
      </c>
      <c r="AD1291">
        <v>375</v>
      </c>
      <c r="AE1291">
        <v>5242.75</v>
      </c>
      <c r="AF1291">
        <v>6000</v>
      </c>
      <c r="AG1291" t="s">
        <v>2451</v>
      </c>
      <c r="AH1291" t="s">
        <v>65</v>
      </c>
      <c r="AI1291" t="s">
        <v>65</v>
      </c>
      <c r="AJ1291" t="s">
        <v>66</v>
      </c>
      <c r="AK1291" t="s">
        <v>66</v>
      </c>
      <c r="AL1291" t="s">
        <v>66</v>
      </c>
      <c r="AM1291" s="2" t="str">
        <f>HYPERLINK("https://transparencia.cidesi.mx/comprobantes/2021/CQ2100716 /C6Factura-138.pdf")</f>
        <v>https://transparencia.cidesi.mx/comprobantes/2021/CQ2100716 /C6Factura-138.pdf</v>
      </c>
      <c r="AN1291" t="str">
        <f>HYPERLINK("https://transparencia.cidesi.mx/comprobantes/2021/CQ2100716 /C6Factura-138.pdf")</f>
        <v>https://transparencia.cidesi.mx/comprobantes/2021/CQ2100716 /C6Factura-138.pdf</v>
      </c>
      <c r="AO1291" t="str">
        <f>HYPERLINK("https://transparencia.cidesi.mx/comprobantes/2021/CQ2100716 /C6Factura-138.xml")</f>
        <v>https://transparencia.cidesi.mx/comprobantes/2021/CQ2100716 /C6Factura-138.xml</v>
      </c>
      <c r="AP1291" t="s">
        <v>2250</v>
      </c>
      <c r="AQ1291" t="s">
        <v>2250</v>
      </c>
      <c r="AR1291" t="s">
        <v>2250</v>
      </c>
      <c r="AS1291" t="s">
        <v>2250</v>
      </c>
      <c r="AT1291" s="1">
        <v>44440</v>
      </c>
      <c r="AU1291" s="1">
        <v>44442</v>
      </c>
    </row>
    <row r="1292" spans="1:47" x14ac:dyDescent="0.3">
      <c r="A1292" t="s">
        <v>47</v>
      </c>
      <c r="B1292" t="s">
        <v>48</v>
      </c>
      <c r="C1292" t="s">
        <v>849</v>
      </c>
      <c r="D1292">
        <v>100338</v>
      </c>
      <c r="E1292" t="s">
        <v>2447</v>
      </c>
      <c r="F1292" t="s">
        <v>351</v>
      </c>
      <c r="G1292" t="s">
        <v>2448</v>
      </c>
      <c r="H1292" t="s">
        <v>2470</v>
      </c>
      <c r="I1292" t="s">
        <v>54</v>
      </c>
      <c r="J1292" t="s">
        <v>2250</v>
      </c>
      <c r="K1292" t="s">
        <v>56</v>
      </c>
      <c r="L1292">
        <v>0</v>
      </c>
      <c r="M1292" t="s">
        <v>73</v>
      </c>
      <c r="N1292">
        <v>0</v>
      </c>
      <c r="O1292" t="s">
        <v>58</v>
      </c>
      <c r="P1292" t="s">
        <v>59</v>
      </c>
      <c r="Q1292" t="s">
        <v>274</v>
      </c>
      <c r="R1292" t="s">
        <v>2250</v>
      </c>
      <c r="S1292" s="1">
        <v>44427</v>
      </c>
      <c r="T1292" s="1">
        <v>44432</v>
      </c>
      <c r="U1292">
        <v>37501</v>
      </c>
      <c r="V1292" t="s">
        <v>61</v>
      </c>
      <c r="W1292" t="s">
        <v>2471</v>
      </c>
      <c r="X1292" s="1">
        <v>44439</v>
      </c>
      <c r="Y1292" t="s">
        <v>63</v>
      </c>
      <c r="Z1292">
        <v>498.28</v>
      </c>
      <c r="AA1292">
        <v>16</v>
      </c>
      <c r="AB1292">
        <v>79.72</v>
      </c>
      <c r="AC1292">
        <v>0</v>
      </c>
      <c r="AD1292">
        <v>578</v>
      </c>
      <c r="AE1292">
        <v>5242.75</v>
      </c>
      <c r="AF1292">
        <v>6000</v>
      </c>
      <c r="AG1292" t="s">
        <v>2451</v>
      </c>
      <c r="AH1292" t="s">
        <v>65</v>
      </c>
      <c r="AI1292" t="s">
        <v>65</v>
      </c>
      <c r="AJ1292" t="s">
        <v>66</v>
      </c>
      <c r="AK1292" t="s">
        <v>66</v>
      </c>
      <c r="AL1292" t="s">
        <v>66</v>
      </c>
      <c r="AM1292" s="2" t="str">
        <f>HYPERLINK("https://transparencia.cidesi.mx/comprobantes/2021/CQ2100716 /C7COME760106817FF2016.pdf")</f>
        <v>https://transparencia.cidesi.mx/comprobantes/2021/CQ2100716 /C7COME760106817FF2016.pdf</v>
      </c>
      <c r="AN1292" t="str">
        <f>HYPERLINK("https://transparencia.cidesi.mx/comprobantes/2021/CQ2100716 /C7COME760106817FF2016.pdf")</f>
        <v>https://transparencia.cidesi.mx/comprobantes/2021/CQ2100716 /C7COME760106817FF2016.pdf</v>
      </c>
      <c r="AO1292" t="str">
        <f>HYPERLINK("https://transparencia.cidesi.mx/comprobantes/2021/CQ2100716 /C7COME760106817FF2016.xml")</f>
        <v>https://transparencia.cidesi.mx/comprobantes/2021/CQ2100716 /C7COME760106817FF2016.xml</v>
      </c>
      <c r="AP1292" t="s">
        <v>2250</v>
      </c>
      <c r="AQ1292" t="s">
        <v>2250</v>
      </c>
      <c r="AR1292" t="s">
        <v>2250</v>
      </c>
      <c r="AS1292" t="s">
        <v>2250</v>
      </c>
      <c r="AT1292" s="1">
        <v>44440</v>
      </c>
      <c r="AU1292" s="1">
        <v>44442</v>
      </c>
    </row>
    <row r="1293" spans="1:47" x14ac:dyDescent="0.3">
      <c r="A1293" t="s">
        <v>47</v>
      </c>
      <c r="B1293" t="s">
        <v>48</v>
      </c>
      <c r="C1293" t="s">
        <v>849</v>
      </c>
      <c r="D1293">
        <v>100338</v>
      </c>
      <c r="E1293" t="s">
        <v>2447</v>
      </c>
      <c r="F1293" t="s">
        <v>351</v>
      </c>
      <c r="G1293" t="s">
        <v>2448</v>
      </c>
      <c r="H1293" t="s">
        <v>2470</v>
      </c>
      <c r="I1293" t="s">
        <v>54</v>
      </c>
      <c r="J1293" t="s">
        <v>2250</v>
      </c>
      <c r="K1293" t="s">
        <v>56</v>
      </c>
      <c r="L1293">
        <v>0</v>
      </c>
      <c r="M1293" t="s">
        <v>73</v>
      </c>
      <c r="N1293">
        <v>0</v>
      </c>
      <c r="O1293" t="s">
        <v>58</v>
      </c>
      <c r="P1293" t="s">
        <v>59</v>
      </c>
      <c r="Q1293" t="s">
        <v>274</v>
      </c>
      <c r="R1293" t="s">
        <v>2250</v>
      </c>
      <c r="S1293" s="1">
        <v>44427</v>
      </c>
      <c r="T1293" s="1">
        <v>44432</v>
      </c>
      <c r="U1293">
        <v>37501</v>
      </c>
      <c r="V1293" t="s">
        <v>61</v>
      </c>
      <c r="W1293" t="s">
        <v>2471</v>
      </c>
      <c r="X1293" s="1">
        <v>44439</v>
      </c>
      <c r="Y1293" t="s">
        <v>63</v>
      </c>
      <c r="Z1293">
        <v>431.04</v>
      </c>
      <c r="AA1293">
        <v>16</v>
      </c>
      <c r="AB1293">
        <v>68.97</v>
      </c>
      <c r="AC1293">
        <v>0</v>
      </c>
      <c r="AD1293">
        <v>500.01</v>
      </c>
      <c r="AE1293">
        <v>5242.75</v>
      </c>
      <c r="AF1293">
        <v>6000</v>
      </c>
      <c r="AG1293" t="s">
        <v>2451</v>
      </c>
      <c r="AH1293" t="s">
        <v>65</v>
      </c>
      <c r="AI1293" t="s">
        <v>65</v>
      </c>
      <c r="AJ1293" t="s">
        <v>66</v>
      </c>
      <c r="AK1293" t="s">
        <v>66</v>
      </c>
      <c r="AL1293" t="s">
        <v>66</v>
      </c>
      <c r="AM1293" s="2" t="str">
        <f>HYPERLINK("https://transparencia.cidesi.mx/comprobantes/2021/CQ2100716 /C9a8da1b6d-1dce-4764-8251-5dfa783cfe46.pdf")</f>
        <v>https://transparencia.cidesi.mx/comprobantes/2021/CQ2100716 /C9a8da1b6d-1dce-4764-8251-5dfa783cfe46.pdf</v>
      </c>
      <c r="AN1293" t="str">
        <f>HYPERLINK("https://transparencia.cidesi.mx/comprobantes/2021/CQ2100716 /C9a8da1b6d-1dce-4764-8251-5dfa783cfe46.pdf")</f>
        <v>https://transparencia.cidesi.mx/comprobantes/2021/CQ2100716 /C9a8da1b6d-1dce-4764-8251-5dfa783cfe46.pdf</v>
      </c>
      <c r="AO1293" t="str">
        <f>HYPERLINK("https://transparencia.cidesi.mx/comprobantes/2021/CQ2100716 /C9a8da1b6d-1dce-4764-8251-5dfa783cfe46.xml")</f>
        <v>https://transparencia.cidesi.mx/comprobantes/2021/CQ2100716 /C9a8da1b6d-1dce-4764-8251-5dfa783cfe46.xml</v>
      </c>
      <c r="AP1293" t="s">
        <v>2250</v>
      </c>
      <c r="AQ1293" t="s">
        <v>2250</v>
      </c>
      <c r="AR1293" t="s">
        <v>2250</v>
      </c>
      <c r="AS1293" t="s">
        <v>2250</v>
      </c>
      <c r="AT1293" s="1">
        <v>44440</v>
      </c>
      <c r="AU1293" s="1">
        <v>44442</v>
      </c>
    </row>
    <row r="1294" spans="1:47" x14ac:dyDescent="0.3">
      <c r="A1294" t="s">
        <v>47</v>
      </c>
      <c r="B1294" t="s">
        <v>48</v>
      </c>
      <c r="C1294" t="s">
        <v>849</v>
      </c>
      <c r="D1294">
        <v>100338</v>
      </c>
      <c r="E1294" t="s">
        <v>2447</v>
      </c>
      <c r="F1294" t="s">
        <v>351</v>
      </c>
      <c r="G1294" t="s">
        <v>2448</v>
      </c>
      <c r="H1294" t="s">
        <v>2470</v>
      </c>
      <c r="I1294" t="s">
        <v>54</v>
      </c>
      <c r="J1294" t="s">
        <v>2250</v>
      </c>
      <c r="K1294" t="s">
        <v>56</v>
      </c>
      <c r="L1294">
        <v>0</v>
      </c>
      <c r="M1294" t="s">
        <v>73</v>
      </c>
      <c r="N1294">
        <v>0</v>
      </c>
      <c r="O1294" t="s">
        <v>58</v>
      </c>
      <c r="P1294" t="s">
        <v>59</v>
      </c>
      <c r="Q1294" t="s">
        <v>274</v>
      </c>
      <c r="R1294" t="s">
        <v>2250</v>
      </c>
      <c r="S1294" s="1">
        <v>44427</v>
      </c>
      <c r="T1294" s="1">
        <v>44432</v>
      </c>
      <c r="U1294">
        <v>37501</v>
      </c>
      <c r="V1294" t="s">
        <v>104</v>
      </c>
      <c r="W1294" t="s">
        <v>2471</v>
      </c>
      <c r="X1294" s="1">
        <v>44439</v>
      </c>
      <c r="Y1294" t="s">
        <v>63</v>
      </c>
      <c r="Z1294">
        <v>386.25</v>
      </c>
      <c r="AA1294">
        <v>16</v>
      </c>
      <c r="AB1294">
        <v>60</v>
      </c>
      <c r="AC1294">
        <v>0</v>
      </c>
      <c r="AD1294">
        <v>446.25</v>
      </c>
      <c r="AE1294">
        <v>5242.75</v>
      </c>
      <c r="AF1294">
        <v>6000</v>
      </c>
      <c r="AG1294" t="s">
        <v>2463</v>
      </c>
      <c r="AH1294" t="s">
        <v>65</v>
      </c>
      <c r="AI1294" t="s">
        <v>65</v>
      </c>
      <c r="AJ1294" t="s">
        <v>66</v>
      </c>
      <c r="AK1294" t="s">
        <v>66</v>
      </c>
      <c r="AL1294" t="s">
        <v>66</v>
      </c>
      <c r="AM1294" s="2" t="str">
        <f>HYPERLINK("https://transparencia.cidesi.mx/comprobantes/2021/CQ2100716 /C1012337910.pdf")</f>
        <v>https://transparencia.cidesi.mx/comprobantes/2021/CQ2100716 /C1012337910.pdf</v>
      </c>
      <c r="AN1294" t="str">
        <f>HYPERLINK("https://transparencia.cidesi.mx/comprobantes/2021/CQ2100716 /C1012337910.pdf")</f>
        <v>https://transparencia.cidesi.mx/comprobantes/2021/CQ2100716 /C1012337910.pdf</v>
      </c>
      <c r="AO1294" t="str">
        <f>HYPERLINK("https://transparencia.cidesi.mx/comprobantes/2021/CQ2100716 /C1012337910_timbrado.xml")</f>
        <v>https://transparencia.cidesi.mx/comprobantes/2021/CQ2100716 /C1012337910_timbrado.xml</v>
      </c>
      <c r="AP1294" t="s">
        <v>2250</v>
      </c>
      <c r="AQ1294" t="s">
        <v>2250</v>
      </c>
      <c r="AR1294" t="s">
        <v>2250</v>
      </c>
      <c r="AS1294" t="s">
        <v>2250</v>
      </c>
      <c r="AT1294" s="1">
        <v>44440</v>
      </c>
      <c r="AU1294" s="1">
        <v>44442</v>
      </c>
    </row>
    <row r="1295" spans="1:47" x14ac:dyDescent="0.3">
      <c r="A1295" t="s">
        <v>47</v>
      </c>
      <c r="B1295" t="s">
        <v>48</v>
      </c>
      <c r="C1295" t="s">
        <v>849</v>
      </c>
      <c r="D1295">
        <v>100338</v>
      </c>
      <c r="E1295" t="s">
        <v>2447</v>
      </c>
      <c r="F1295" t="s">
        <v>351</v>
      </c>
      <c r="G1295" t="s">
        <v>2448</v>
      </c>
      <c r="H1295" t="s">
        <v>2470</v>
      </c>
      <c r="I1295" t="s">
        <v>54</v>
      </c>
      <c r="J1295" t="s">
        <v>2250</v>
      </c>
      <c r="K1295" t="s">
        <v>56</v>
      </c>
      <c r="L1295">
        <v>0</v>
      </c>
      <c r="M1295" t="s">
        <v>73</v>
      </c>
      <c r="N1295">
        <v>0</v>
      </c>
      <c r="O1295" t="s">
        <v>58</v>
      </c>
      <c r="P1295" t="s">
        <v>59</v>
      </c>
      <c r="Q1295" t="s">
        <v>274</v>
      </c>
      <c r="R1295" t="s">
        <v>2250</v>
      </c>
      <c r="S1295" s="1">
        <v>44427</v>
      </c>
      <c r="T1295" s="1">
        <v>44432</v>
      </c>
      <c r="U1295">
        <v>37501</v>
      </c>
      <c r="V1295" t="s">
        <v>104</v>
      </c>
      <c r="W1295" t="s">
        <v>2471</v>
      </c>
      <c r="X1295" s="1">
        <v>44439</v>
      </c>
      <c r="Y1295" t="s">
        <v>63</v>
      </c>
      <c r="Z1295">
        <v>386.25</v>
      </c>
      <c r="AA1295">
        <v>16</v>
      </c>
      <c r="AB1295">
        <v>60</v>
      </c>
      <c r="AC1295">
        <v>0</v>
      </c>
      <c r="AD1295">
        <v>446.25</v>
      </c>
      <c r="AE1295">
        <v>5242.75</v>
      </c>
      <c r="AF1295">
        <v>6000</v>
      </c>
      <c r="AG1295" t="s">
        <v>2463</v>
      </c>
      <c r="AH1295" t="s">
        <v>65</v>
      </c>
      <c r="AI1295" t="s">
        <v>65</v>
      </c>
      <c r="AJ1295" t="s">
        <v>66</v>
      </c>
      <c r="AK1295" t="s">
        <v>66</v>
      </c>
      <c r="AL1295" t="s">
        <v>66</v>
      </c>
      <c r="AM1295" s="2" t="str">
        <f>HYPERLINK("https://transparencia.cidesi.mx/comprobantes/2021/CQ2100716 /C1112337911.pdf")</f>
        <v>https://transparencia.cidesi.mx/comprobantes/2021/CQ2100716 /C1112337911.pdf</v>
      </c>
      <c r="AN1295" t="str">
        <f>HYPERLINK("https://transparencia.cidesi.mx/comprobantes/2021/CQ2100716 /C1112337911.pdf")</f>
        <v>https://transparencia.cidesi.mx/comprobantes/2021/CQ2100716 /C1112337911.pdf</v>
      </c>
      <c r="AO1295" t="str">
        <f>HYPERLINK("https://transparencia.cidesi.mx/comprobantes/2021/CQ2100716 /C1112337911_timbrado.xml")</f>
        <v>https://transparencia.cidesi.mx/comprobantes/2021/CQ2100716 /C1112337911_timbrado.xml</v>
      </c>
      <c r="AP1295" t="s">
        <v>2250</v>
      </c>
      <c r="AQ1295" t="s">
        <v>2250</v>
      </c>
      <c r="AR1295" t="s">
        <v>2250</v>
      </c>
      <c r="AS1295" t="s">
        <v>2250</v>
      </c>
      <c r="AT1295" s="1">
        <v>44440</v>
      </c>
      <c r="AU1295" s="1">
        <v>44442</v>
      </c>
    </row>
    <row r="1296" spans="1:47" x14ac:dyDescent="0.3">
      <c r="A1296" t="s">
        <v>47</v>
      </c>
      <c r="B1296" t="s">
        <v>48</v>
      </c>
      <c r="C1296" t="s">
        <v>849</v>
      </c>
      <c r="D1296">
        <v>100338</v>
      </c>
      <c r="E1296" t="s">
        <v>2447</v>
      </c>
      <c r="F1296" t="s">
        <v>351</v>
      </c>
      <c r="G1296" t="s">
        <v>2448</v>
      </c>
      <c r="H1296" t="s">
        <v>2470</v>
      </c>
      <c r="I1296" t="s">
        <v>54</v>
      </c>
      <c r="J1296" t="s">
        <v>2250</v>
      </c>
      <c r="K1296" t="s">
        <v>56</v>
      </c>
      <c r="L1296">
        <v>0</v>
      </c>
      <c r="M1296" t="s">
        <v>73</v>
      </c>
      <c r="N1296">
        <v>0</v>
      </c>
      <c r="O1296" t="s">
        <v>58</v>
      </c>
      <c r="P1296" t="s">
        <v>59</v>
      </c>
      <c r="Q1296" t="s">
        <v>274</v>
      </c>
      <c r="R1296" t="s">
        <v>2250</v>
      </c>
      <c r="S1296" s="1">
        <v>44427</v>
      </c>
      <c r="T1296" s="1">
        <v>44432</v>
      </c>
      <c r="U1296">
        <v>37501</v>
      </c>
      <c r="V1296" t="s">
        <v>61</v>
      </c>
      <c r="W1296" t="s">
        <v>2471</v>
      </c>
      <c r="X1296" s="1">
        <v>44439</v>
      </c>
      <c r="Y1296" t="s">
        <v>63</v>
      </c>
      <c r="Z1296">
        <v>446.55</v>
      </c>
      <c r="AA1296">
        <v>16</v>
      </c>
      <c r="AB1296">
        <v>71.45</v>
      </c>
      <c r="AC1296">
        <v>0</v>
      </c>
      <c r="AD1296">
        <v>518</v>
      </c>
      <c r="AE1296">
        <v>5242.75</v>
      </c>
      <c r="AF1296">
        <v>6000</v>
      </c>
      <c r="AG1296" t="s">
        <v>2451</v>
      </c>
      <c r="AH1296" t="s">
        <v>65</v>
      </c>
      <c r="AI1296" t="s">
        <v>65</v>
      </c>
      <c r="AJ1296" t="s">
        <v>66</v>
      </c>
      <c r="AK1296" t="s">
        <v>66</v>
      </c>
      <c r="AL1296" t="s">
        <v>66</v>
      </c>
      <c r="AM1296" s="2" t="str">
        <f>HYPERLINK("https://transparencia.cidesi.mx/comprobantes/2021/CQ2100716 /C1269902457.pdf")</f>
        <v>https://transparencia.cidesi.mx/comprobantes/2021/CQ2100716 /C1269902457.pdf</v>
      </c>
      <c r="AN1296" t="str">
        <f>HYPERLINK("https://transparencia.cidesi.mx/comprobantes/2021/CQ2100716 /C1269902457.pdf")</f>
        <v>https://transparencia.cidesi.mx/comprobantes/2021/CQ2100716 /C1269902457.pdf</v>
      </c>
      <c r="AO1296" t="str">
        <f>HYPERLINK("https://transparencia.cidesi.mx/comprobantes/2021/CQ2100716 /C1269902457.xml")</f>
        <v>https://transparencia.cidesi.mx/comprobantes/2021/CQ2100716 /C1269902457.xml</v>
      </c>
      <c r="AP1296" t="s">
        <v>2250</v>
      </c>
      <c r="AQ1296" t="s">
        <v>2250</v>
      </c>
      <c r="AR1296" t="s">
        <v>2250</v>
      </c>
      <c r="AS1296" t="s">
        <v>2250</v>
      </c>
      <c r="AT1296" s="1">
        <v>44440</v>
      </c>
      <c r="AU1296" s="1">
        <v>44442</v>
      </c>
    </row>
    <row r="1297" spans="1:47" x14ac:dyDescent="0.3">
      <c r="A1297" t="s">
        <v>47</v>
      </c>
      <c r="B1297" t="s">
        <v>48</v>
      </c>
      <c r="C1297" t="s">
        <v>849</v>
      </c>
      <c r="D1297">
        <v>100338</v>
      </c>
      <c r="E1297" t="s">
        <v>2447</v>
      </c>
      <c r="F1297" t="s">
        <v>351</v>
      </c>
      <c r="G1297" t="s">
        <v>2448</v>
      </c>
      <c r="H1297" t="s">
        <v>2470</v>
      </c>
      <c r="I1297" t="s">
        <v>54</v>
      </c>
      <c r="J1297" t="s">
        <v>2250</v>
      </c>
      <c r="K1297" t="s">
        <v>56</v>
      </c>
      <c r="L1297">
        <v>0</v>
      </c>
      <c r="M1297" t="s">
        <v>73</v>
      </c>
      <c r="N1297">
        <v>0</v>
      </c>
      <c r="O1297" t="s">
        <v>58</v>
      </c>
      <c r="P1297" t="s">
        <v>59</v>
      </c>
      <c r="Q1297" t="s">
        <v>274</v>
      </c>
      <c r="R1297" t="s">
        <v>2250</v>
      </c>
      <c r="S1297" s="1">
        <v>44427</v>
      </c>
      <c r="T1297" s="1">
        <v>44432</v>
      </c>
      <c r="U1297">
        <v>37501</v>
      </c>
      <c r="V1297" t="s">
        <v>104</v>
      </c>
      <c r="W1297" t="s">
        <v>2471</v>
      </c>
      <c r="X1297" s="1">
        <v>44439</v>
      </c>
      <c r="Y1297" t="s">
        <v>63</v>
      </c>
      <c r="Z1297">
        <v>386.25</v>
      </c>
      <c r="AA1297">
        <v>16</v>
      </c>
      <c r="AB1297">
        <v>60</v>
      </c>
      <c r="AC1297">
        <v>0</v>
      </c>
      <c r="AD1297">
        <v>446.25</v>
      </c>
      <c r="AE1297">
        <v>5242.75</v>
      </c>
      <c r="AF1297">
        <v>6000</v>
      </c>
      <c r="AG1297" t="s">
        <v>2463</v>
      </c>
      <c r="AH1297" t="s">
        <v>65</v>
      </c>
      <c r="AI1297" t="s">
        <v>65</v>
      </c>
      <c r="AJ1297" t="s">
        <v>66</v>
      </c>
      <c r="AK1297" t="s">
        <v>66</v>
      </c>
      <c r="AL1297" t="s">
        <v>66</v>
      </c>
      <c r="AM1297" s="2" t="str">
        <f>HYPERLINK("https://transparencia.cidesi.mx/comprobantes/2021/CQ2100716 /C1312367926.pdf")</f>
        <v>https://transparencia.cidesi.mx/comprobantes/2021/CQ2100716 /C1312367926.pdf</v>
      </c>
      <c r="AN1297" t="str">
        <f>HYPERLINK("https://transparencia.cidesi.mx/comprobantes/2021/CQ2100716 /C1312367926.pdf")</f>
        <v>https://transparencia.cidesi.mx/comprobantes/2021/CQ2100716 /C1312367926.pdf</v>
      </c>
      <c r="AO1297" t="str">
        <f>HYPERLINK("https://transparencia.cidesi.mx/comprobantes/2021/CQ2100716 /C1312367926_timbrado.xml")</f>
        <v>https://transparencia.cidesi.mx/comprobantes/2021/CQ2100716 /C1312367926_timbrado.xml</v>
      </c>
      <c r="AP1297" t="s">
        <v>2250</v>
      </c>
      <c r="AQ1297" t="s">
        <v>2250</v>
      </c>
      <c r="AR1297" t="s">
        <v>2250</v>
      </c>
      <c r="AS1297" t="s">
        <v>2250</v>
      </c>
      <c r="AT1297" s="1">
        <v>44440</v>
      </c>
      <c r="AU1297" s="1">
        <v>44442</v>
      </c>
    </row>
    <row r="1298" spans="1:47" x14ac:dyDescent="0.3">
      <c r="A1298" t="s">
        <v>47</v>
      </c>
      <c r="B1298" t="s">
        <v>48</v>
      </c>
      <c r="C1298" t="s">
        <v>849</v>
      </c>
      <c r="D1298">
        <v>100338</v>
      </c>
      <c r="E1298" t="s">
        <v>2447</v>
      </c>
      <c r="F1298" t="s">
        <v>351</v>
      </c>
      <c r="G1298" t="s">
        <v>2448</v>
      </c>
      <c r="H1298" t="s">
        <v>2470</v>
      </c>
      <c r="I1298" t="s">
        <v>54</v>
      </c>
      <c r="J1298" t="s">
        <v>2250</v>
      </c>
      <c r="K1298" t="s">
        <v>56</v>
      </c>
      <c r="L1298">
        <v>0</v>
      </c>
      <c r="M1298" t="s">
        <v>73</v>
      </c>
      <c r="N1298">
        <v>0</v>
      </c>
      <c r="O1298" t="s">
        <v>58</v>
      </c>
      <c r="P1298" t="s">
        <v>59</v>
      </c>
      <c r="Q1298" t="s">
        <v>274</v>
      </c>
      <c r="R1298" t="s">
        <v>2250</v>
      </c>
      <c r="S1298" s="1">
        <v>44427</v>
      </c>
      <c r="T1298" s="1">
        <v>44432</v>
      </c>
      <c r="U1298">
        <v>37501</v>
      </c>
      <c r="V1298" t="s">
        <v>61</v>
      </c>
      <c r="W1298" t="s">
        <v>2471</v>
      </c>
      <c r="X1298" s="1">
        <v>44439</v>
      </c>
      <c r="Y1298" t="s">
        <v>63</v>
      </c>
      <c r="Z1298">
        <v>224.03</v>
      </c>
      <c r="AA1298">
        <v>16</v>
      </c>
      <c r="AB1298">
        <v>4.97</v>
      </c>
      <c r="AC1298">
        <v>0</v>
      </c>
      <c r="AD1298">
        <v>229</v>
      </c>
      <c r="AE1298">
        <v>5242.75</v>
      </c>
      <c r="AF1298">
        <v>6000</v>
      </c>
      <c r="AG1298" t="s">
        <v>2451</v>
      </c>
      <c r="AH1298" t="s">
        <v>65</v>
      </c>
      <c r="AI1298" t="s">
        <v>65</v>
      </c>
      <c r="AJ1298" t="s">
        <v>66</v>
      </c>
      <c r="AK1298" t="s">
        <v>66</v>
      </c>
      <c r="AL1298" t="s">
        <v>66</v>
      </c>
      <c r="AM1298" s="2" t="str">
        <f>HYPERLINK("https://transparencia.cidesi.mx/comprobantes/2021/CQ2100716 /C14FACTURA_1630212139622_342603553.pdf")</f>
        <v>https://transparencia.cidesi.mx/comprobantes/2021/CQ2100716 /C14FACTURA_1630212139622_342603553.pdf</v>
      </c>
      <c r="AN1298" t="str">
        <f>HYPERLINK("https://transparencia.cidesi.mx/comprobantes/2021/CQ2100716 /C14FACTURA_1630212139622_342603553.pdf")</f>
        <v>https://transparencia.cidesi.mx/comprobantes/2021/CQ2100716 /C14FACTURA_1630212139622_342603553.pdf</v>
      </c>
      <c r="AO1298" t="str">
        <f>HYPERLINK("https://transparencia.cidesi.mx/comprobantes/2021/CQ2100716 /C14FACTURA_1630212139622_342603553.xml")</f>
        <v>https://transparencia.cidesi.mx/comprobantes/2021/CQ2100716 /C14FACTURA_1630212139622_342603553.xml</v>
      </c>
      <c r="AP1298" t="s">
        <v>2250</v>
      </c>
      <c r="AQ1298" t="s">
        <v>2250</v>
      </c>
      <c r="AR1298" t="s">
        <v>2250</v>
      </c>
      <c r="AS1298" t="s">
        <v>2250</v>
      </c>
      <c r="AT1298" s="1">
        <v>44440</v>
      </c>
      <c r="AU1298" s="1">
        <v>44442</v>
      </c>
    </row>
    <row r="1299" spans="1:47" x14ac:dyDescent="0.3">
      <c r="A1299" t="s">
        <v>47</v>
      </c>
      <c r="B1299" t="s">
        <v>48</v>
      </c>
      <c r="C1299" t="s">
        <v>849</v>
      </c>
      <c r="D1299">
        <v>100338</v>
      </c>
      <c r="E1299" t="s">
        <v>2447</v>
      </c>
      <c r="F1299" t="s">
        <v>351</v>
      </c>
      <c r="G1299" t="s">
        <v>2448</v>
      </c>
      <c r="H1299" t="s">
        <v>2472</v>
      </c>
      <c r="I1299" t="s">
        <v>54</v>
      </c>
      <c r="J1299" t="s">
        <v>2473</v>
      </c>
      <c r="K1299" t="s">
        <v>56</v>
      </c>
      <c r="L1299">
        <v>0</v>
      </c>
      <c r="M1299" t="s">
        <v>73</v>
      </c>
      <c r="N1299">
        <v>0</v>
      </c>
      <c r="O1299" t="s">
        <v>58</v>
      </c>
      <c r="P1299" t="s">
        <v>59</v>
      </c>
      <c r="Q1299" t="s">
        <v>2254</v>
      </c>
      <c r="R1299" t="s">
        <v>2473</v>
      </c>
      <c r="S1299" s="1">
        <v>44432</v>
      </c>
      <c r="T1299" s="1">
        <v>44437</v>
      </c>
      <c r="U1299">
        <v>37501</v>
      </c>
      <c r="V1299" t="s">
        <v>61</v>
      </c>
      <c r="W1299" t="s">
        <v>2474</v>
      </c>
      <c r="X1299" s="1">
        <v>44445</v>
      </c>
      <c r="Y1299" t="s">
        <v>63</v>
      </c>
      <c r="Z1299">
        <v>93.97</v>
      </c>
      <c r="AA1299">
        <v>16</v>
      </c>
      <c r="AB1299">
        <v>15.03</v>
      </c>
      <c r="AC1299">
        <v>0</v>
      </c>
      <c r="AD1299">
        <v>109</v>
      </c>
      <c r="AE1299">
        <v>5963.8</v>
      </c>
      <c r="AF1299">
        <v>6000</v>
      </c>
      <c r="AG1299" t="s">
        <v>2451</v>
      </c>
      <c r="AH1299" t="s">
        <v>65</v>
      </c>
      <c r="AI1299" t="s">
        <v>65</v>
      </c>
      <c r="AJ1299" t="s">
        <v>66</v>
      </c>
      <c r="AK1299" t="s">
        <v>66</v>
      </c>
      <c r="AL1299" t="s">
        <v>66</v>
      </c>
      <c r="AM1299" s="2" t="str">
        <f>HYPERLINK("https://transparencia.cidesi.mx/comprobantes/2021/CQ2100734 /C151B52C2D-6719-40A3-A118-9E2325A104CB.pdf")</f>
        <v>https://transparencia.cidesi.mx/comprobantes/2021/CQ2100734 /C151B52C2D-6719-40A3-A118-9E2325A104CB.pdf</v>
      </c>
      <c r="AN1299" t="str">
        <f>HYPERLINK("https://transparencia.cidesi.mx/comprobantes/2021/CQ2100734 /C151B52C2D-6719-40A3-A118-9E2325A104CB.pdf")</f>
        <v>https://transparencia.cidesi.mx/comprobantes/2021/CQ2100734 /C151B52C2D-6719-40A3-A118-9E2325A104CB.pdf</v>
      </c>
      <c r="AO1299" t="str">
        <f>HYPERLINK("https://transparencia.cidesi.mx/comprobantes/2021/CQ2100734 /C151B52C2D-6719-40A3-A118-9E2325A104CB.xml")</f>
        <v>https://transparencia.cidesi.mx/comprobantes/2021/CQ2100734 /C151B52C2D-6719-40A3-A118-9E2325A104CB.xml</v>
      </c>
      <c r="AP1299" t="s">
        <v>2473</v>
      </c>
      <c r="AQ1299" t="s">
        <v>2473</v>
      </c>
      <c r="AR1299" t="s">
        <v>2473</v>
      </c>
      <c r="AS1299" t="s">
        <v>2473</v>
      </c>
      <c r="AT1299" s="1">
        <v>44453</v>
      </c>
      <c r="AU1299" s="1">
        <v>44470</v>
      </c>
    </row>
    <row r="1300" spans="1:47" x14ac:dyDescent="0.3">
      <c r="A1300" t="s">
        <v>47</v>
      </c>
      <c r="B1300" t="s">
        <v>48</v>
      </c>
      <c r="C1300" t="s">
        <v>849</v>
      </c>
      <c r="D1300">
        <v>100338</v>
      </c>
      <c r="E1300" t="s">
        <v>2447</v>
      </c>
      <c r="F1300" t="s">
        <v>351</v>
      </c>
      <c r="G1300" t="s">
        <v>2448</v>
      </c>
      <c r="H1300" t="s">
        <v>2472</v>
      </c>
      <c r="I1300" t="s">
        <v>54</v>
      </c>
      <c r="J1300" t="s">
        <v>2473</v>
      </c>
      <c r="K1300" t="s">
        <v>56</v>
      </c>
      <c r="L1300">
        <v>0</v>
      </c>
      <c r="M1300" t="s">
        <v>73</v>
      </c>
      <c r="N1300">
        <v>0</v>
      </c>
      <c r="O1300" t="s">
        <v>58</v>
      </c>
      <c r="P1300" t="s">
        <v>59</v>
      </c>
      <c r="Q1300" t="s">
        <v>2254</v>
      </c>
      <c r="R1300" t="s">
        <v>2473</v>
      </c>
      <c r="S1300" s="1">
        <v>44432</v>
      </c>
      <c r="T1300" s="1">
        <v>44437</v>
      </c>
      <c r="U1300">
        <v>37501</v>
      </c>
      <c r="V1300" t="s">
        <v>61</v>
      </c>
      <c r="W1300" t="s">
        <v>2474</v>
      </c>
      <c r="X1300" s="1">
        <v>44445</v>
      </c>
      <c r="Y1300" t="s">
        <v>63</v>
      </c>
      <c r="Z1300">
        <v>436.21</v>
      </c>
      <c r="AA1300">
        <v>16</v>
      </c>
      <c r="AB1300">
        <v>69.790000000000006</v>
      </c>
      <c r="AC1300">
        <v>0</v>
      </c>
      <c r="AD1300">
        <v>506</v>
      </c>
      <c r="AE1300">
        <v>5963.8</v>
      </c>
      <c r="AF1300">
        <v>6000</v>
      </c>
      <c r="AG1300" t="s">
        <v>2451</v>
      </c>
      <c r="AH1300" t="s">
        <v>65</v>
      </c>
      <c r="AI1300" t="s">
        <v>65</v>
      </c>
      <c r="AJ1300" t="s">
        <v>66</v>
      </c>
      <c r="AK1300" t="s">
        <v>66</v>
      </c>
      <c r="AL1300" t="s">
        <v>66</v>
      </c>
      <c r="AM1300" s="2" t="str">
        <f>HYPERLINK("https://transparencia.cidesi.mx/comprobantes/2021/CQ2100734 /C2FG0000017874.pdf")</f>
        <v>https://transparencia.cidesi.mx/comprobantes/2021/CQ2100734 /C2FG0000017874.pdf</v>
      </c>
      <c r="AN1300" t="str">
        <f>HYPERLINK("https://transparencia.cidesi.mx/comprobantes/2021/CQ2100734 /C2FG0000017874.pdf")</f>
        <v>https://transparencia.cidesi.mx/comprobantes/2021/CQ2100734 /C2FG0000017874.pdf</v>
      </c>
      <c r="AO1300" t="str">
        <f>HYPERLINK("https://transparencia.cidesi.mx/comprobantes/2021/CQ2100734 /C2FG0000017874.xml")</f>
        <v>https://transparencia.cidesi.mx/comprobantes/2021/CQ2100734 /C2FG0000017874.xml</v>
      </c>
      <c r="AP1300" t="s">
        <v>2473</v>
      </c>
      <c r="AQ1300" t="s">
        <v>2473</v>
      </c>
      <c r="AR1300" t="s">
        <v>2473</v>
      </c>
      <c r="AS1300" t="s">
        <v>2473</v>
      </c>
      <c r="AT1300" s="1">
        <v>44453</v>
      </c>
      <c r="AU1300" s="1">
        <v>44470</v>
      </c>
    </row>
    <row r="1301" spans="1:47" x14ac:dyDescent="0.3">
      <c r="A1301" t="s">
        <v>47</v>
      </c>
      <c r="B1301" t="s">
        <v>48</v>
      </c>
      <c r="C1301" t="s">
        <v>849</v>
      </c>
      <c r="D1301">
        <v>100338</v>
      </c>
      <c r="E1301" t="s">
        <v>2447</v>
      </c>
      <c r="F1301" t="s">
        <v>351</v>
      </c>
      <c r="G1301" t="s">
        <v>2448</v>
      </c>
      <c r="H1301" t="s">
        <v>2472</v>
      </c>
      <c r="I1301" t="s">
        <v>54</v>
      </c>
      <c r="J1301" t="s">
        <v>2473</v>
      </c>
      <c r="K1301" t="s">
        <v>56</v>
      </c>
      <c r="L1301">
        <v>0</v>
      </c>
      <c r="M1301" t="s">
        <v>73</v>
      </c>
      <c r="N1301">
        <v>0</v>
      </c>
      <c r="O1301" t="s">
        <v>58</v>
      </c>
      <c r="P1301" t="s">
        <v>59</v>
      </c>
      <c r="Q1301" t="s">
        <v>2254</v>
      </c>
      <c r="R1301" t="s">
        <v>2473</v>
      </c>
      <c r="S1301" s="1">
        <v>44432</v>
      </c>
      <c r="T1301" s="1">
        <v>44437</v>
      </c>
      <c r="U1301">
        <v>37501</v>
      </c>
      <c r="V1301" t="s">
        <v>61</v>
      </c>
      <c r="W1301" t="s">
        <v>2474</v>
      </c>
      <c r="X1301" s="1">
        <v>44445</v>
      </c>
      <c r="Y1301" t="s">
        <v>63</v>
      </c>
      <c r="Z1301">
        <v>107</v>
      </c>
      <c r="AA1301">
        <v>0</v>
      </c>
      <c r="AB1301">
        <v>0</v>
      </c>
      <c r="AC1301">
        <v>0</v>
      </c>
      <c r="AD1301">
        <v>107</v>
      </c>
      <c r="AE1301">
        <v>5963.8</v>
      </c>
      <c r="AF1301">
        <v>6000</v>
      </c>
      <c r="AG1301" t="s">
        <v>2451</v>
      </c>
      <c r="AH1301" t="s">
        <v>65</v>
      </c>
      <c r="AI1301" t="s">
        <v>65</v>
      </c>
      <c r="AJ1301" t="s">
        <v>66</v>
      </c>
      <c r="AK1301" t="s">
        <v>66</v>
      </c>
      <c r="AL1301" t="s">
        <v>66</v>
      </c>
      <c r="AM1301" s="2" t="str">
        <f>HYPERLINK("https://transparencia.cidesi.mx/comprobantes/2021/CQ2100734 /C3FACTURA_1630439153808_343280511.pdf")</f>
        <v>https://transparencia.cidesi.mx/comprobantes/2021/CQ2100734 /C3FACTURA_1630439153808_343280511.pdf</v>
      </c>
      <c r="AN1301" t="str">
        <f>HYPERLINK("https://transparencia.cidesi.mx/comprobantes/2021/CQ2100734 /C3FACTURA_1630439153808_343280511.pdf")</f>
        <v>https://transparencia.cidesi.mx/comprobantes/2021/CQ2100734 /C3FACTURA_1630439153808_343280511.pdf</v>
      </c>
      <c r="AO1301" t="str">
        <f>HYPERLINK("https://transparencia.cidesi.mx/comprobantes/2021/CQ2100734 /C3FACTURA_1630439153808_343280511.xml")</f>
        <v>https://transparencia.cidesi.mx/comprobantes/2021/CQ2100734 /C3FACTURA_1630439153808_343280511.xml</v>
      </c>
      <c r="AP1301" t="s">
        <v>2473</v>
      </c>
      <c r="AQ1301" t="s">
        <v>2473</v>
      </c>
      <c r="AR1301" t="s">
        <v>2473</v>
      </c>
      <c r="AS1301" t="s">
        <v>2473</v>
      </c>
      <c r="AT1301" s="1">
        <v>44453</v>
      </c>
      <c r="AU1301" s="1">
        <v>44470</v>
      </c>
    </row>
    <row r="1302" spans="1:47" x14ac:dyDescent="0.3">
      <c r="A1302" t="s">
        <v>47</v>
      </c>
      <c r="B1302" t="s">
        <v>48</v>
      </c>
      <c r="C1302" t="s">
        <v>849</v>
      </c>
      <c r="D1302">
        <v>100338</v>
      </c>
      <c r="E1302" t="s">
        <v>2447</v>
      </c>
      <c r="F1302" t="s">
        <v>351</v>
      </c>
      <c r="G1302" t="s">
        <v>2448</v>
      </c>
      <c r="H1302" t="s">
        <v>2472</v>
      </c>
      <c r="I1302" t="s">
        <v>54</v>
      </c>
      <c r="J1302" t="s">
        <v>2473</v>
      </c>
      <c r="K1302" t="s">
        <v>56</v>
      </c>
      <c r="L1302">
        <v>0</v>
      </c>
      <c r="M1302" t="s">
        <v>73</v>
      </c>
      <c r="N1302">
        <v>0</v>
      </c>
      <c r="O1302" t="s">
        <v>58</v>
      </c>
      <c r="P1302" t="s">
        <v>59</v>
      </c>
      <c r="Q1302" t="s">
        <v>2254</v>
      </c>
      <c r="R1302" t="s">
        <v>2473</v>
      </c>
      <c r="S1302" s="1">
        <v>44432</v>
      </c>
      <c r="T1302" s="1">
        <v>44437</v>
      </c>
      <c r="U1302">
        <v>37501</v>
      </c>
      <c r="V1302" t="s">
        <v>61</v>
      </c>
      <c r="W1302" t="s">
        <v>2474</v>
      </c>
      <c r="X1302" s="1">
        <v>44445</v>
      </c>
      <c r="Y1302" t="s">
        <v>63</v>
      </c>
      <c r="Z1302">
        <v>57.29</v>
      </c>
      <c r="AA1302">
        <v>16</v>
      </c>
      <c r="AB1302">
        <v>2.21</v>
      </c>
      <c r="AC1302">
        <v>0</v>
      </c>
      <c r="AD1302">
        <v>59.5</v>
      </c>
      <c r="AE1302">
        <v>5963.8</v>
      </c>
      <c r="AF1302">
        <v>6000</v>
      </c>
      <c r="AG1302" t="s">
        <v>2451</v>
      </c>
      <c r="AH1302" t="s">
        <v>65</v>
      </c>
      <c r="AI1302" t="s">
        <v>65</v>
      </c>
      <c r="AJ1302" t="s">
        <v>66</v>
      </c>
      <c r="AK1302" t="s">
        <v>66</v>
      </c>
      <c r="AL1302" t="s">
        <v>66</v>
      </c>
      <c r="AM1302" s="2" t="str">
        <f>HYPERLINK("https://transparencia.cidesi.mx/comprobantes/2021/CQ2100734 /C4FACTURA_1630290660840_342744461.pdf")</f>
        <v>https://transparencia.cidesi.mx/comprobantes/2021/CQ2100734 /C4FACTURA_1630290660840_342744461.pdf</v>
      </c>
      <c r="AN1302" t="str">
        <f>HYPERLINK("https://transparencia.cidesi.mx/comprobantes/2021/CQ2100734 /C4FACTURA_1630290660840_342744461.pdf")</f>
        <v>https://transparencia.cidesi.mx/comprobantes/2021/CQ2100734 /C4FACTURA_1630290660840_342744461.pdf</v>
      </c>
      <c r="AO1302" t="str">
        <f>HYPERLINK("https://transparencia.cidesi.mx/comprobantes/2021/CQ2100734 /C4FACTURA_1630290660840_342744461.xml")</f>
        <v>https://transparencia.cidesi.mx/comprobantes/2021/CQ2100734 /C4FACTURA_1630290660840_342744461.xml</v>
      </c>
      <c r="AP1302" t="s">
        <v>2473</v>
      </c>
      <c r="AQ1302" t="s">
        <v>2473</v>
      </c>
      <c r="AR1302" t="s">
        <v>2473</v>
      </c>
      <c r="AS1302" t="s">
        <v>2473</v>
      </c>
      <c r="AT1302" s="1">
        <v>44453</v>
      </c>
      <c r="AU1302" s="1">
        <v>44470</v>
      </c>
    </row>
    <row r="1303" spans="1:47" x14ac:dyDescent="0.3">
      <c r="A1303" t="s">
        <v>47</v>
      </c>
      <c r="B1303" t="s">
        <v>48</v>
      </c>
      <c r="C1303" t="s">
        <v>849</v>
      </c>
      <c r="D1303">
        <v>100338</v>
      </c>
      <c r="E1303" t="s">
        <v>2447</v>
      </c>
      <c r="F1303" t="s">
        <v>351</v>
      </c>
      <c r="G1303" t="s">
        <v>2448</v>
      </c>
      <c r="H1303" t="s">
        <v>2472</v>
      </c>
      <c r="I1303" t="s">
        <v>54</v>
      </c>
      <c r="J1303" t="s">
        <v>2473</v>
      </c>
      <c r="K1303" t="s">
        <v>56</v>
      </c>
      <c r="L1303">
        <v>0</v>
      </c>
      <c r="M1303" t="s">
        <v>73</v>
      </c>
      <c r="N1303">
        <v>0</v>
      </c>
      <c r="O1303" t="s">
        <v>58</v>
      </c>
      <c r="P1303" t="s">
        <v>59</v>
      </c>
      <c r="Q1303" t="s">
        <v>2254</v>
      </c>
      <c r="R1303" t="s">
        <v>2473</v>
      </c>
      <c r="S1303" s="1">
        <v>44432</v>
      </c>
      <c r="T1303" s="1">
        <v>44437</v>
      </c>
      <c r="U1303">
        <v>37501</v>
      </c>
      <c r="V1303" t="s">
        <v>61</v>
      </c>
      <c r="W1303" t="s">
        <v>2474</v>
      </c>
      <c r="X1303" s="1">
        <v>44445</v>
      </c>
      <c r="Y1303" t="s">
        <v>63</v>
      </c>
      <c r="Z1303">
        <v>88.91</v>
      </c>
      <c r="AA1303">
        <v>16</v>
      </c>
      <c r="AB1303">
        <v>5.59</v>
      </c>
      <c r="AC1303">
        <v>0</v>
      </c>
      <c r="AD1303">
        <v>94.5</v>
      </c>
      <c r="AE1303">
        <v>5963.8</v>
      </c>
      <c r="AF1303">
        <v>6000</v>
      </c>
      <c r="AG1303" t="s">
        <v>2451</v>
      </c>
      <c r="AH1303" t="s">
        <v>65</v>
      </c>
      <c r="AI1303" t="s">
        <v>65</v>
      </c>
      <c r="AJ1303" t="s">
        <v>66</v>
      </c>
      <c r="AK1303" t="s">
        <v>66</v>
      </c>
      <c r="AL1303" t="s">
        <v>66</v>
      </c>
      <c r="AM1303" s="2" t="str">
        <f>HYPERLINK("https://transparencia.cidesi.mx/comprobantes/2021/CQ2100734 /C5FACTURA_1630290362630_342743441.pdf")</f>
        <v>https://transparencia.cidesi.mx/comprobantes/2021/CQ2100734 /C5FACTURA_1630290362630_342743441.pdf</v>
      </c>
      <c r="AN1303" t="str">
        <f>HYPERLINK("https://transparencia.cidesi.mx/comprobantes/2021/CQ2100734 /C5FACTURA_1630290362630_342743441.pdf")</f>
        <v>https://transparencia.cidesi.mx/comprobantes/2021/CQ2100734 /C5FACTURA_1630290362630_342743441.pdf</v>
      </c>
      <c r="AO1303" t="str">
        <f>HYPERLINK("https://transparencia.cidesi.mx/comprobantes/2021/CQ2100734 /C5FACTURA_1630290362630_342743441.xml")</f>
        <v>https://transparencia.cidesi.mx/comprobantes/2021/CQ2100734 /C5FACTURA_1630290362630_342743441.xml</v>
      </c>
      <c r="AP1303" t="s">
        <v>2473</v>
      </c>
      <c r="AQ1303" t="s">
        <v>2473</v>
      </c>
      <c r="AR1303" t="s">
        <v>2473</v>
      </c>
      <c r="AS1303" t="s">
        <v>2473</v>
      </c>
      <c r="AT1303" s="1">
        <v>44453</v>
      </c>
      <c r="AU1303" s="1">
        <v>44470</v>
      </c>
    </row>
    <row r="1304" spans="1:47" x14ac:dyDescent="0.3">
      <c r="A1304" t="s">
        <v>47</v>
      </c>
      <c r="B1304" t="s">
        <v>48</v>
      </c>
      <c r="C1304" t="s">
        <v>849</v>
      </c>
      <c r="D1304">
        <v>100338</v>
      </c>
      <c r="E1304" t="s">
        <v>2447</v>
      </c>
      <c r="F1304" t="s">
        <v>351</v>
      </c>
      <c r="G1304" t="s">
        <v>2448</v>
      </c>
      <c r="H1304" t="s">
        <v>2472</v>
      </c>
      <c r="I1304" t="s">
        <v>54</v>
      </c>
      <c r="J1304" t="s">
        <v>2473</v>
      </c>
      <c r="K1304" t="s">
        <v>56</v>
      </c>
      <c r="L1304">
        <v>0</v>
      </c>
      <c r="M1304" t="s">
        <v>73</v>
      </c>
      <c r="N1304">
        <v>0</v>
      </c>
      <c r="O1304" t="s">
        <v>58</v>
      </c>
      <c r="P1304" t="s">
        <v>59</v>
      </c>
      <c r="Q1304" t="s">
        <v>2254</v>
      </c>
      <c r="R1304" t="s">
        <v>2473</v>
      </c>
      <c r="S1304" s="1">
        <v>44432</v>
      </c>
      <c r="T1304" s="1">
        <v>44437</v>
      </c>
      <c r="U1304">
        <v>37501</v>
      </c>
      <c r="V1304" t="s">
        <v>61</v>
      </c>
      <c r="W1304" t="s">
        <v>2474</v>
      </c>
      <c r="X1304" s="1">
        <v>44445</v>
      </c>
      <c r="Y1304" t="s">
        <v>63</v>
      </c>
      <c r="Z1304">
        <v>122</v>
      </c>
      <c r="AA1304">
        <v>0</v>
      </c>
      <c r="AB1304">
        <v>0</v>
      </c>
      <c r="AC1304">
        <v>0</v>
      </c>
      <c r="AD1304">
        <v>122</v>
      </c>
      <c r="AE1304">
        <v>5963.8</v>
      </c>
      <c r="AF1304">
        <v>6000</v>
      </c>
      <c r="AG1304" t="s">
        <v>2451</v>
      </c>
      <c r="AH1304" t="s">
        <v>65</v>
      </c>
      <c r="AI1304" t="s">
        <v>65</v>
      </c>
      <c r="AJ1304" t="s">
        <v>66</v>
      </c>
      <c r="AK1304" t="s">
        <v>66</v>
      </c>
      <c r="AL1304" t="s">
        <v>66</v>
      </c>
      <c r="AM1304" s="2" t="str">
        <f>HYPERLINK("https://transparencia.cidesi.mx/comprobantes/2021/CQ2100734 /C6FACTURA_1630289924939_342742119.pdf")</f>
        <v>https://transparencia.cidesi.mx/comprobantes/2021/CQ2100734 /C6FACTURA_1630289924939_342742119.pdf</v>
      </c>
      <c r="AN1304" t="str">
        <f>HYPERLINK("https://transparencia.cidesi.mx/comprobantes/2021/CQ2100734 /C6FACTURA_1630289924939_342742119.pdf")</f>
        <v>https://transparencia.cidesi.mx/comprobantes/2021/CQ2100734 /C6FACTURA_1630289924939_342742119.pdf</v>
      </c>
      <c r="AO1304" t="str">
        <f>HYPERLINK("https://transparencia.cidesi.mx/comprobantes/2021/CQ2100734 /C6FACTURA_1630289924939_342742119.xml")</f>
        <v>https://transparencia.cidesi.mx/comprobantes/2021/CQ2100734 /C6FACTURA_1630289924939_342742119.xml</v>
      </c>
      <c r="AP1304" t="s">
        <v>2473</v>
      </c>
      <c r="AQ1304" t="s">
        <v>2473</v>
      </c>
      <c r="AR1304" t="s">
        <v>2473</v>
      </c>
      <c r="AS1304" t="s">
        <v>2473</v>
      </c>
      <c r="AT1304" s="1">
        <v>44453</v>
      </c>
      <c r="AU1304" s="1">
        <v>44470</v>
      </c>
    </row>
    <row r="1305" spans="1:47" x14ac:dyDescent="0.3">
      <c r="A1305" t="s">
        <v>47</v>
      </c>
      <c r="B1305" t="s">
        <v>48</v>
      </c>
      <c r="C1305" t="s">
        <v>849</v>
      </c>
      <c r="D1305">
        <v>100338</v>
      </c>
      <c r="E1305" t="s">
        <v>2447</v>
      </c>
      <c r="F1305" t="s">
        <v>351</v>
      </c>
      <c r="G1305" t="s">
        <v>2448</v>
      </c>
      <c r="H1305" t="s">
        <v>2472</v>
      </c>
      <c r="I1305" t="s">
        <v>54</v>
      </c>
      <c r="J1305" t="s">
        <v>2473</v>
      </c>
      <c r="K1305" t="s">
        <v>56</v>
      </c>
      <c r="L1305">
        <v>0</v>
      </c>
      <c r="M1305" t="s">
        <v>73</v>
      </c>
      <c r="N1305">
        <v>0</v>
      </c>
      <c r="O1305" t="s">
        <v>58</v>
      </c>
      <c r="P1305" t="s">
        <v>59</v>
      </c>
      <c r="Q1305" t="s">
        <v>2254</v>
      </c>
      <c r="R1305" t="s">
        <v>2473</v>
      </c>
      <c r="S1305" s="1">
        <v>44432</v>
      </c>
      <c r="T1305" s="1">
        <v>44437</v>
      </c>
      <c r="U1305">
        <v>37501</v>
      </c>
      <c r="V1305" t="s">
        <v>104</v>
      </c>
      <c r="W1305" t="s">
        <v>2474</v>
      </c>
      <c r="X1305" s="1">
        <v>44445</v>
      </c>
      <c r="Y1305" t="s">
        <v>63</v>
      </c>
      <c r="Z1305">
        <v>419.79</v>
      </c>
      <c r="AA1305">
        <v>16</v>
      </c>
      <c r="AB1305">
        <v>65.209999999999994</v>
      </c>
      <c r="AC1305">
        <v>0</v>
      </c>
      <c r="AD1305">
        <v>485</v>
      </c>
      <c r="AE1305">
        <v>5963.8</v>
      </c>
      <c r="AF1305">
        <v>6000</v>
      </c>
      <c r="AG1305" t="s">
        <v>2463</v>
      </c>
      <c r="AH1305" t="s">
        <v>65</v>
      </c>
      <c r="AI1305" t="s">
        <v>65</v>
      </c>
      <c r="AJ1305" t="s">
        <v>66</v>
      </c>
      <c r="AK1305" t="s">
        <v>66</v>
      </c>
      <c r="AL1305" t="s">
        <v>66</v>
      </c>
      <c r="AM1305" s="2" t="str">
        <f>HYPERLINK("https://transparencia.cidesi.mx/comprobantes/2021/CQ2100734 /C7FA0000018161.pdf")</f>
        <v>https://transparencia.cidesi.mx/comprobantes/2021/CQ2100734 /C7FA0000018161.pdf</v>
      </c>
      <c r="AN1305" t="str">
        <f>HYPERLINK("https://transparencia.cidesi.mx/comprobantes/2021/CQ2100734 /C7FA0000018161.pdf")</f>
        <v>https://transparencia.cidesi.mx/comprobantes/2021/CQ2100734 /C7FA0000018161.pdf</v>
      </c>
      <c r="AO1305" t="str">
        <f>HYPERLINK("https://transparencia.cidesi.mx/comprobantes/2021/CQ2100734 /C7FA0000018161.xml")</f>
        <v>https://transparencia.cidesi.mx/comprobantes/2021/CQ2100734 /C7FA0000018161.xml</v>
      </c>
      <c r="AP1305" t="s">
        <v>2473</v>
      </c>
      <c r="AQ1305" t="s">
        <v>2473</v>
      </c>
      <c r="AR1305" t="s">
        <v>2473</v>
      </c>
      <c r="AS1305" t="s">
        <v>2473</v>
      </c>
      <c r="AT1305" s="1">
        <v>44453</v>
      </c>
      <c r="AU1305" s="1">
        <v>44470</v>
      </c>
    </row>
    <row r="1306" spans="1:47" x14ac:dyDescent="0.3">
      <c r="A1306" t="s">
        <v>47</v>
      </c>
      <c r="B1306" t="s">
        <v>48</v>
      </c>
      <c r="C1306" t="s">
        <v>849</v>
      </c>
      <c r="D1306">
        <v>100338</v>
      </c>
      <c r="E1306" t="s">
        <v>2447</v>
      </c>
      <c r="F1306" t="s">
        <v>351</v>
      </c>
      <c r="G1306" t="s">
        <v>2448</v>
      </c>
      <c r="H1306" t="s">
        <v>2472</v>
      </c>
      <c r="I1306" t="s">
        <v>54</v>
      </c>
      <c r="J1306" t="s">
        <v>2473</v>
      </c>
      <c r="K1306" t="s">
        <v>56</v>
      </c>
      <c r="L1306">
        <v>0</v>
      </c>
      <c r="M1306" t="s">
        <v>73</v>
      </c>
      <c r="N1306">
        <v>0</v>
      </c>
      <c r="O1306" t="s">
        <v>58</v>
      </c>
      <c r="P1306" t="s">
        <v>59</v>
      </c>
      <c r="Q1306" t="s">
        <v>2254</v>
      </c>
      <c r="R1306" t="s">
        <v>2473</v>
      </c>
      <c r="S1306" s="1">
        <v>44432</v>
      </c>
      <c r="T1306" s="1">
        <v>44437</v>
      </c>
      <c r="U1306">
        <v>37501</v>
      </c>
      <c r="V1306" t="s">
        <v>61</v>
      </c>
      <c r="W1306" t="s">
        <v>2474</v>
      </c>
      <c r="X1306" s="1">
        <v>44445</v>
      </c>
      <c r="Y1306" t="s">
        <v>63</v>
      </c>
      <c r="Z1306">
        <v>288.79000000000002</v>
      </c>
      <c r="AA1306">
        <v>16</v>
      </c>
      <c r="AB1306">
        <v>46.21</v>
      </c>
      <c r="AC1306">
        <v>0</v>
      </c>
      <c r="AD1306">
        <v>335</v>
      </c>
      <c r="AE1306">
        <v>5963.8</v>
      </c>
      <c r="AF1306">
        <v>6000</v>
      </c>
      <c r="AG1306" t="s">
        <v>2451</v>
      </c>
      <c r="AH1306" t="s">
        <v>65</v>
      </c>
      <c r="AI1306" t="s">
        <v>65</v>
      </c>
      <c r="AJ1306" t="s">
        <v>66</v>
      </c>
      <c r="AK1306" t="s">
        <v>66</v>
      </c>
      <c r="AL1306" t="s">
        <v>66</v>
      </c>
      <c r="AM1306" s="2" t="str">
        <f>HYPERLINK("https://transparencia.cidesi.mx/comprobantes/2021/CQ2100734 /C8FA0000018162.xml")</f>
        <v>https://transparencia.cidesi.mx/comprobantes/2021/CQ2100734 /C8FA0000018162.xml</v>
      </c>
      <c r="AN1306" t="str">
        <f>HYPERLINK("https://transparencia.cidesi.mx/comprobantes/2021/CQ2100734 /C8FA0000018162.xml")</f>
        <v>https://transparencia.cidesi.mx/comprobantes/2021/CQ2100734 /C8FA0000018162.xml</v>
      </c>
      <c r="AO1306" t="str">
        <f>HYPERLINK("https://transparencia.cidesi.mx/comprobantes/2021/CQ2100734 /C8FA0000018162.xml")</f>
        <v>https://transparencia.cidesi.mx/comprobantes/2021/CQ2100734 /C8FA0000018162.xml</v>
      </c>
      <c r="AP1306" t="s">
        <v>2473</v>
      </c>
      <c r="AQ1306" t="s">
        <v>2473</v>
      </c>
      <c r="AR1306" t="s">
        <v>2473</v>
      </c>
      <c r="AS1306" t="s">
        <v>2473</v>
      </c>
      <c r="AT1306" s="1">
        <v>44453</v>
      </c>
      <c r="AU1306" s="1">
        <v>44470</v>
      </c>
    </row>
    <row r="1307" spans="1:47" x14ac:dyDescent="0.3">
      <c r="A1307" t="s">
        <v>47</v>
      </c>
      <c r="B1307" t="s">
        <v>48</v>
      </c>
      <c r="C1307" t="s">
        <v>849</v>
      </c>
      <c r="D1307">
        <v>100338</v>
      </c>
      <c r="E1307" t="s">
        <v>2447</v>
      </c>
      <c r="F1307" t="s">
        <v>351</v>
      </c>
      <c r="G1307" t="s">
        <v>2448</v>
      </c>
      <c r="H1307" t="s">
        <v>2472</v>
      </c>
      <c r="I1307" t="s">
        <v>54</v>
      </c>
      <c r="J1307" t="s">
        <v>2473</v>
      </c>
      <c r="K1307" t="s">
        <v>56</v>
      </c>
      <c r="L1307">
        <v>0</v>
      </c>
      <c r="M1307" t="s">
        <v>73</v>
      </c>
      <c r="N1307">
        <v>0</v>
      </c>
      <c r="O1307" t="s">
        <v>58</v>
      </c>
      <c r="P1307" t="s">
        <v>59</v>
      </c>
      <c r="Q1307" t="s">
        <v>2254</v>
      </c>
      <c r="R1307" t="s">
        <v>2473</v>
      </c>
      <c r="S1307" s="1">
        <v>44432</v>
      </c>
      <c r="T1307" s="1">
        <v>44437</v>
      </c>
      <c r="U1307">
        <v>37501</v>
      </c>
      <c r="V1307" t="s">
        <v>61</v>
      </c>
      <c r="W1307" t="s">
        <v>2474</v>
      </c>
      <c r="X1307" s="1">
        <v>44445</v>
      </c>
      <c r="Y1307" t="s">
        <v>63</v>
      </c>
      <c r="Z1307">
        <v>280.17</v>
      </c>
      <c r="AA1307">
        <v>16</v>
      </c>
      <c r="AB1307">
        <v>44.83</v>
      </c>
      <c r="AC1307">
        <v>0</v>
      </c>
      <c r="AD1307">
        <v>325</v>
      </c>
      <c r="AE1307">
        <v>5963.8</v>
      </c>
      <c r="AF1307">
        <v>6000</v>
      </c>
      <c r="AG1307" t="s">
        <v>2451</v>
      </c>
      <c r="AH1307" t="s">
        <v>65</v>
      </c>
      <c r="AI1307" t="s">
        <v>65</v>
      </c>
      <c r="AJ1307" t="s">
        <v>66</v>
      </c>
      <c r="AK1307" t="s">
        <v>66</v>
      </c>
      <c r="AL1307" t="s">
        <v>66</v>
      </c>
      <c r="AM1307" s="2" t="str">
        <f>HYPERLINK("https://transparencia.cidesi.mx/comprobantes/2021/CQ2100734 /C9FA0000018141.pdf")</f>
        <v>https://transparencia.cidesi.mx/comprobantes/2021/CQ2100734 /C9FA0000018141.pdf</v>
      </c>
      <c r="AN1307" t="str">
        <f>HYPERLINK("https://transparencia.cidesi.mx/comprobantes/2021/CQ2100734 /C9FA0000018141.pdf")</f>
        <v>https://transparencia.cidesi.mx/comprobantes/2021/CQ2100734 /C9FA0000018141.pdf</v>
      </c>
      <c r="AO1307" t="str">
        <f>HYPERLINK("https://transparencia.cidesi.mx/comprobantes/2021/CQ2100734 /C9FA0000018141.xml")</f>
        <v>https://transparencia.cidesi.mx/comprobantes/2021/CQ2100734 /C9FA0000018141.xml</v>
      </c>
      <c r="AP1307" t="s">
        <v>2473</v>
      </c>
      <c r="AQ1307" t="s">
        <v>2473</v>
      </c>
      <c r="AR1307" t="s">
        <v>2473</v>
      </c>
      <c r="AS1307" t="s">
        <v>2473</v>
      </c>
      <c r="AT1307" s="1">
        <v>44453</v>
      </c>
      <c r="AU1307" s="1">
        <v>44470</v>
      </c>
    </row>
    <row r="1308" spans="1:47" x14ac:dyDescent="0.3">
      <c r="A1308" t="s">
        <v>47</v>
      </c>
      <c r="B1308" t="s">
        <v>48</v>
      </c>
      <c r="C1308" t="s">
        <v>849</v>
      </c>
      <c r="D1308">
        <v>100338</v>
      </c>
      <c r="E1308" t="s">
        <v>2447</v>
      </c>
      <c r="F1308" t="s">
        <v>351</v>
      </c>
      <c r="G1308" t="s">
        <v>2448</v>
      </c>
      <c r="H1308" t="s">
        <v>2472</v>
      </c>
      <c r="I1308" t="s">
        <v>54</v>
      </c>
      <c r="J1308" t="s">
        <v>2473</v>
      </c>
      <c r="K1308" t="s">
        <v>56</v>
      </c>
      <c r="L1308">
        <v>0</v>
      </c>
      <c r="M1308" t="s">
        <v>73</v>
      </c>
      <c r="N1308">
        <v>0</v>
      </c>
      <c r="O1308" t="s">
        <v>58</v>
      </c>
      <c r="P1308" t="s">
        <v>59</v>
      </c>
      <c r="Q1308" t="s">
        <v>2254</v>
      </c>
      <c r="R1308" t="s">
        <v>2473</v>
      </c>
      <c r="S1308" s="1">
        <v>44432</v>
      </c>
      <c r="T1308" s="1">
        <v>44437</v>
      </c>
      <c r="U1308">
        <v>37501</v>
      </c>
      <c r="V1308" t="s">
        <v>104</v>
      </c>
      <c r="W1308" t="s">
        <v>2474</v>
      </c>
      <c r="X1308" s="1">
        <v>44445</v>
      </c>
      <c r="Y1308" t="s">
        <v>63</v>
      </c>
      <c r="Z1308">
        <v>839.58</v>
      </c>
      <c r="AA1308">
        <v>16</v>
      </c>
      <c r="AB1308">
        <v>130.41999999999999</v>
      </c>
      <c r="AC1308">
        <v>0</v>
      </c>
      <c r="AD1308">
        <v>970</v>
      </c>
      <c r="AE1308">
        <v>5963.8</v>
      </c>
      <c r="AF1308">
        <v>6000</v>
      </c>
      <c r="AG1308" t="s">
        <v>2463</v>
      </c>
      <c r="AH1308" t="s">
        <v>65</v>
      </c>
      <c r="AI1308" t="s">
        <v>65</v>
      </c>
      <c r="AJ1308" t="s">
        <v>66</v>
      </c>
      <c r="AK1308" t="s">
        <v>66</v>
      </c>
      <c r="AL1308" t="s">
        <v>66</v>
      </c>
      <c r="AM1308" s="2" t="str">
        <f>HYPERLINK("https://transparencia.cidesi.mx/comprobantes/2021/CQ2100734 /C10FA0000018139.pdf")</f>
        <v>https://transparencia.cidesi.mx/comprobantes/2021/CQ2100734 /C10FA0000018139.pdf</v>
      </c>
      <c r="AN1308" t="str">
        <f>HYPERLINK("https://transparencia.cidesi.mx/comprobantes/2021/CQ2100734 /C10FA0000018139.pdf")</f>
        <v>https://transparencia.cidesi.mx/comprobantes/2021/CQ2100734 /C10FA0000018139.pdf</v>
      </c>
      <c r="AO1308" t="str">
        <f>HYPERLINK("https://transparencia.cidesi.mx/comprobantes/2021/CQ2100734 /C10FA0000018139.xml")</f>
        <v>https://transparencia.cidesi.mx/comprobantes/2021/CQ2100734 /C10FA0000018139.xml</v>
      </c>
      <c r="AP1308" t="s">
        <v>2473</v>
      </c>
      <c r="AQ1308" t="s">
        <v>2473</v>
      </c>
      <c r="AR1308" t="s">
        <v>2473</v>
      </c>
      <c r="AS1308" t="s">
        <v>2473</v>
      </c>
      <c r="AT1308" s="1">
        <v>44453</v>
      </c>
      <c r="AU1308" s="1">
        <v>44470</v>
      </c>
    </row>
    <row r="1309" spans="1:47" x14ac:dyDescent="0.3">
      <c r="A1309" t="s">
        <v>47</v>
      </c>
      <c r="B1309" t="s">
        <v>48</v>
      </c>
      <c r="C1309" t="s">
        <v>849</v>
      </c>
      <c r="D1309">
        <v>100338</v>
      </c>
      <c r="E1309" t="s">
        <v>2447</v>
      </c>
      <c r="F1309" t="s">
        <v>351</v>
      </c>
      <c r="G1309" t="s">
        <v>2448</v>
      </c>
      <c r="H1309" t="s">
        <v>2472</v>
      </c>
      <c r="I1309" t="s">
        <v>54</v>
      </c>
      <c r="J1309" t="s">
        <v>2473</v>
      </c>
      <c r="K1309" t="s">
        <v>56</v>
      </c>
      <c r="L1309">
        <v>0</v>
      </c>
      <c r="M1309" t="s">
        <v>73</v>
      </c>
      <c r="N1309">
        <v>0</v>
      </c>
      <c r="O1309" t="s">
        <v>58</v>
      </c>
      <c r="P1309" t="s">
        <v>59</v>
      </c>
      <c r="Q1309" t="s">
        <v>2254</v>
      </c>
      <c r="R1309" t="s">
        <v>2473</v>
      </c>
      <c r="S1309" s="1">
        <v>44432</v>
      </c>
      <c r="T1309" s="1">
        <v>44437</v>
      </c>
      <c r="U1309">
        <v>37501</v>
      </c>
      <c r="V1309" t="s">
        <v>61</v>
      </c>
      <c r="W1309" t="s">
        <v>2474</v>
      </c>
      <c r="X1309" s="1">
        <v>44445</v>
      </c>
      <c r="Y1309" t="s">
        <v>63</v>
      </c>
      <c r="Z1309">
        <v>570.69000000000005</v>
      </c>
      <c r="AA1309">
        <v>16</v>
      </c>
      <c r="AB1309">
        <v>91.31</v>
      </c>
      <c r="AC1309">
        <v>0</v>
      </c>
      <c r="AD1309">
        <v>662</v>
      </c>
      <c r="AE1309">
        <v>5963.8</v>
      </c>
      <c r="AF1309">
        <v>6000</v>
      </c>
      <c r="AG1309" t="s">
        <v>2451</v>
      </c>
      <c r="AH1309" t="s">
        <v>65</v>
      </c>
      <c r="AI1309" t="s">
        <v>65</v>
      </c>
      <c r="AJ1309" t="s">
        <v>66</v>
      </c>
      <c r="AK1309" t="s">
        <v>66</v>
      </c>
      <c r="AL1309" t="s">
        <v>66</v>
      </c>
      <c r="AM1309" s="2" t="str">
        <f>HYPERLINK("https://transparencia.cidesi.mx/comprobantes/2021/CQ2100734 /C11BPVOABPVOA0000000987.pdf")</f>
        <v>https://transparencia.cidesi.mx/comprobantes/2021/CQ2100734 /C11BPVOABPVOA0000000987.pdf</v>
      </c>
      <c r="AN1309" t="str">
        <f>HYPERLINK("https://transparencia.cidesi.mx/comprobantes/2021/CQ2100734 /C11BPVOABPVOA0000000987.pdf")</f>
        <v>https://transparencia.cidesi.mx/comprobantes/2021/CQ2100734 /C11BPVOABPVOA0000000987.pdf</v>
      </c>
      <c r="AO1309" t="str">
        <f>HYPERLINK("https://transparencia.cidesi.mx/comprobantes/2021/CQ2100734 /C11BPVOABPVOA0000000987.xml")</f>
        <v>https://transparencia.cidesi.mx/comprobantes/2021/CQ2100734 /C11BPVOABPVOA0000000987.xml</v>
      </c>
      <c r="AP1309" t="s">
        <v>2473</v>
      </c>
      <c r="AQ1309" t="s">
        <v>2473</v>
      </c>
      <c r="AR1309" t="s">
        <v>2473</v>
      </c>
      <c r="AS1309" t="s">
        <v>2473</v>
      </c>
      <c r="AT1309" s="1">
        <v>44453</v>
      </c>
      <c r="AU1309" s="1">
        <v>44470</v>
      </c>
    </row>
    <row r="1310" spans="1:47" x14ac:dyDescent="0.3">
      <c r="A1310" t="s">
        <v>47</v>
      </c>
      <c r="B1310" t="s">
        <v>48</v>
      </c>
      <c r="C1310" t="s">
        <v>849</v>
      </c>
      <c r="D1310">
        <v>100338</v>
      </c>
      <c r="E1310" t="s">
        <v>2447</v>
      </c>
      <c r="F1310" t="s">
        <v>351</v>
      </c>
      <c r="G1310" t="s">
        <v>2448</v>
      </c>
      <c r="H1310" t="s">
        <v>2472</v>
      </c>
      <c r="I1310" t="s">
        <v>54</v>
      </c>
      <c r="J1310" t="s">
        <v>2473</v>
      </c>
      <c r="K1310" t="s">
        <v>56</v>
      </c>
      <c r="L1310">
        <v>0</v>
      </c>
      <c r="M1310" t="s">
        <v>73</v>
      </c>
      <c r="N1310">
        <v>0</v>
      </c>
      <c r="O1310" t="s">
        <v>58</v>
      </c>
      <c r="P1310" t="s">
        <v>59</v>
      </c>
      <c r="Q1310" t="s">
        <v>2254</v>
      </c>
      <c r="R1310" t="s">
        <v>2473</v>
      </c>
      <c r="S1310" s="1">
        <v>44432</v>
      </c>
      <c r="T1310" s="1">
        <v>44437</v>
      </c>
      <c r="U1310">
        <v>37501</v>
      </c>
      <c r="V1310" t="s">
        <v>104</v>
      </c>
      <c r="W1310" t="s">
        <v>2474</v>
      </c>
      <c r="X1310" s="1">
        <v>44445</v>
      </c>
      <c r="Y1310" t="s">
        <v>63</v>
      </c>
      <c r="Z1310">
        <v>1400.8</v>
      </c>
      <c r="AA1310">
        <v>16</v>
      </c>
      <c r="AB1310">
        <v>217.6</v>
      </c>
      <c r="AC1310">
        <v>0</v>
      </c>
      <c r="AD1310">
        <v>1618.4</v>
      </c>
      <c r="AE1310">
        <v>5963.8</v>
      </c>
      <c r="AF1310">
        <v>6000</v>
      </c>
      <c r="AG1310" t="s">
        <v>2463</v>
      </c>
      <c r="AH1310" t="s">
        <v>65</v>
      </c>
      <c r="AI1310" t="s">
        <v>65</v>
      </c>
      <c r="AJ1310" t="s">
        <v>66</v>
      </c>
      <c r="AK1310" t="s">
        <v>66</v>
      </c>
      <c r="AL1310" t="s">
        <v>66</v>
      </c>
      <c r="AM1310" s="2" t="str">
        <f>HYPERLINK("https://transparencia.cidesi.mx/comprobantes/2021/CQ2100734 /C12A76910.pdf")</f>
        <v>https://transparencia.cidesi.mx/comprobantes/2021/CQ2100734 /C12A76910.pdf</v>
      </c>
      <c r="AN1310" t="str">
        <f>HYPERLINK("https://transparencia.cidesi.mx/comprobantes/2021/CQ2100734 /C12A76910.pdf")</f>
        <v>https://transparencia.cidesi.mx/comprobantes/2021/CQ2100734 /C12A76910.pdf</v>
      </c>
      <c r="AO1310" t="str">
        <f>HYPERLINK("https://transparencia.cidesi.mx/comprobantes/2021/CQ2100734 /C12A76910.xml")</f>
        <v>https://transparencia.cidesi.mx/comprobantes/2021/CQ2100734 /C12A76910.xml</v>
      </c>
      <c r="AP1310" t="s">
        <v>2473</v>
      </c>
      <c r="AQ1310" t="s">
        <v>2473</v>
      </c>
      <c r="AR1310" t="s">
        <v>2473</v>
      </c>
      <c r="AS1310" t="s">
        <v>2473</v>
      </c>
      <c r="AT1310" s="1">
        <v>44453</v>
      </c>
      <c r="AU1310" s="1">
        <v>44470</v>
      </c>
    </row>
    <row r="1311" spans="1:47" x14ac:dyDescent="0.3">
      <c r="A1311" t="s">
        <v>47</v>
      </c>
      <c r="B1311" t="s">
        <v>48</v>
      </c>
      <c r="C1311" t="s">
        <v>849</v>
      </c>
      <c r="D1311">
        <v>100338</v>
      </c>
      <c r="E1311" t="s">
        <v>2447</v>
      </c>
      <c r="F1311" t="s">
        <v>351</v>
      </c>
      <c r="G1311" t="s">
        <v>2448</v>
      </c>
      <c r="H1311" t="s">
        <v>2472</v>
      </c>
      <c r="I1311" t="s">
        <v>54</v>
      </c>
      <c r="J1311" t="s">
        <v>2473</v>
      </c>
      <c r="K1311" t="s">
        <v>56</v>
      </c>
      <c r="L1311">
        <v>0</v>
      </c>
      <c r="M1311" t="s">
        <v>73</v>
      </c>
      <c r="N1311">
        <v>0</v>
      </c>
      <c r="O1311" t="s">
        <v>58</v>
      </c>
      <c r="P1311" t="s">
        <v>59</v>
      </c>
      <c r="Q1311" t="s">
        <v>2254</v>
      </c>
      <c r="R1311" t="s">
        <v>2473</v>
      </c>
      <c r="S1311" s="1">
        <v>44432</v>
      </c>
      <c r="T1311" s="1">
        <v>44437</v>
      </c>
      <c r="U1311">
        <v>37501</v>
      </c>
      <c r="V1311" t="s">
        <v>61</v>
      </c>
      <c r="W1311" t="s">
        <v>2474</v>
      </c>
      <c r="X1311" s="1">
        <v>44445</v>
      </c>
      <c r="Y1311" t="s">
        <v>63</v>
      </c>
      <c r="Z1311">
        <v>279.66000000000003</v>
      </c>
      <c r="AA1311">
        <v>16</v>
      </c>
      <c r="AB1311">
        <v>44.74</v>
      </c>
      <c r="AC1311">
        <v>0</v>
      </c>
      <c r="AD1311">
        <v>324.39999999999998</v>
      </c>
      <c r="AE1311">
        <v>5963.8</v>
      </c>
      <c r="AF1311">
        <v>6000</v>
      </c>
      <c r="AG1311" t="s">
        <v>2451</v>
      </c>
      <c r="AH1311" t="s">
        <v>65</v>
      </c>
      <c r="AI1311" t="s">
        <v>65</v>
      </c>
      <c r="AJ1311" t="s">
        <v>66</v>
      </c>
      <c r="AK1311" t="s">
        <v>66</v>
      </c>
      <c r="AL1311" t="s">
        <v>66</v>
      </c>
      <c r="AM1311" s="2" t="str">
        <f>HYPERLINK("https://transparencia.cidesi.mx/comprobantes/2021/CQ2100734 /C1369915035.pdf")</f>
        <v>https://transparencia.cidesi.mx/comprobantes/2021/CQ2100734 /C1369915035.pdf</v>
      </c>
      <c r="AN1311" t="str">
        <f>HYPERLINK("https://transparencia.cidesi.mx/comprobantes/2021/CQ2100734 /C1369915035.pdf")</f>
        <v>https://transparencia.cidesi.mx/comprobantes/2021/CQ2100734 /C1369915035.pdf</v>
      </c>
      <c r="AO1311" t="str">
        <f>HYPERLINK("https://transparencia.cidesi.mx/comprobantes/2021/CQ2100734 /C1369915035 (2).xml")</f>
        <v>https://transparencia.cidesi.mx/comprobantes/2021/CQ2100734 /C1369915035 (2).xml</v>
      </c>
      <c r="AP1311" t="s">
        <v>2473</v>
      </c>
      <c r="AQ1311" t="s">
        <v>2473</v>
      </c>
      <c r="AR1311" t="s">
        <v>2473</v>
      </c>
      <c r="AS1311" t="s">
        <v>2473</v>
      </c>
      <c r="AT1311" s="1">
        <v>44453</v>
      </c>
      <c r="AU1311" s="1">
        <v>44470</v>
      </c>
    </row>
    <row r="1312" spans="1:47" x14ac:dyDescent="0.3">
      <c r="A1312" t="s">
        <v>47</v>
      </c>
      <c r="B1312" t="s">
        <v>48</v>
      </c>
      <c r="C1312" t="s">
        <v>849</v>
      </c>
      <c r="D1312">
        <v>100338</v>
      </c>
      <c r="E1312" t="s">
        <v>2447</v>
      </c>
      <c r="F1312" t="s">
        <v>351</v>
      </c>
      <c r="G1312" t="s">
        <v>2448</v>
      </c>
      <c r="H1312" t="s">
        <v>2472</v>
      </c>
      <c r="I1312" t="s">
        <v>54</v>
      </c>
      <c r="J1312" t="s">
        <v>2473</v>
      </c>
      <c r="K1312" t="s">
        <v>56</v>
      </c>
      <c r="L1312">
        <v>0</v>
      </c>
      <c r="M1312" t="s">
        <v>73</v>
      </c>
      <c r="N1312">
        <v>0</v>
      </c>
      <c r="O1312" t="s">
        <v>58</v>
      </c>
      <c r="P1312" t="s">
        <v>59</v>
      </c>
      <c r="Q1312" t="s">
        <v>2254</v>
      </c>
      <c r="R1312" t="s">
        <v>2473</v>
      </c>
      <c r="S1312" s="1">
        <v>44432</v>
      </c>
      <c r="T1312" s="1">
        <v>44437</v>
      </c>
      <c r="U1312">
        <v>37501</v>
      </c>
      <c r="V1312" t="s">
        <v>61</v>
      </c>
      <c r="W1312" t="s">
        <v>2474</v>
      </c>
      <c r="X1312" s="1">
        <v>44445</v>
      </c>
      <c r="Y1312" t="s">
        <v>63</v>
      </c>
      <c r="Z1312">
        <v>212.07</v>
      </c>
      <c r="AA1312">
        <v>16</v>
      </c>
      <c r="AB1312">
        <v>33.93</v>
      </c>
      <c r="AC1312">
        <v>0</v>
      </c>
      <c r="AD1312">
        <v>246</v>
      </c>
      <c r="AE1312">
        <v>5963.8</v>
      </c>
      <c r="AF1312">
        <v>6000</v>
      </c>
      <c r="AG1312" t="s">
        <v>2451</v>
      </c>
      <c r="AH1312" t="s">
        <v>65</v>
      </c>
      <c r="AI1312" t="s">
        <v>65</v>
      </c>
      <c r="AJ1312" t="s">
        <v>66</v>
      </c>
      <c r="AK1312" t="s">
        <v>66</v>
      </c>
      <c r="AL1312" t="s">
        <v>66</v>
      </c>
      <c r="AM1312" s="2" t="str">
        <f>HYPERLINK("https://transparencia.cidesi.mx/comprobantes/2021/CQ2100734 /C1469914988.pdf")</f>
        <v>https://transparencia.cidesi.mx/comprobantes/2021/CQ2100734 /C1469914988.pdf</v>
      </c>
      <c r="AN1312" t="str">
        <f>HYPERLINK("https://transparencia.cidesi.mx/comprobantes/2021/CQ2100734 /C1469914988.pdf")</f>
        <v>https://transparencia.cidesi.mx/comprobantes/2021/CQ2100734 /C1469914988.pdf</v>
      </c>
      <c r="AO1312" t="str">
        <f>HYPERLINK("https://transparencia.cidesi.mx/comprobantes/2021/CQ2100734 /C1469914988.xml")</f>
        <v>https://transparencia.cidesi.mx/comprobantes/2021/CQ2100734 /C1469914988.xml</v>
      </c>
      <c r="AP1312" t="s">
        <v>2473</v>
      </c>
      <c r="AQ1312" t="s">
        <v>2473</v>
      </c>
      <c r="AR1312" t="s">
        <v>2473</v>
      </c>
      <c r="AS1312" t="s">
        <v>2473</v>
      </c>
      <c r="AT1312" s="1">
        <v>44453</v>
      </c>
      <c r="AU1312" s="1">
        <v>44470</v>
      </c>
    </row>
    <row r="1313" spans="1:47" x14ac:dyDescent="0.3">
      <c r="A1313" t="s">
        <v>47</v>
      </c>
      <c r="B1313" t="s">
        <v>48</v>
      </c>
      <c r="C1313" t="s">
        <v>849</v>
      </c>
      <c r="D1313">
        <v>100338</v>
      </c>
      <c r="E1313" t="s">
        <v>2447</v>
      </c>
      <c r="F1313" t="s">
        <v>351</v>
      </c>
      <c r="G1313" t="s">
        <v>2448</v>
      </c>
      <c r="H1313" t="s">
        <v>2475</v>
      </c>
      <c r="I1313" t="s">
        <v>54</v>
      </c>
      <c r="J1313" t="s">
        <v>2257</v>
      </c>
      <c r="K1313" t="s">
        <v>56</v>
      </c>
      <c r="L1313">
        <v>0</v>
      </c>
      <c r="M1313" t="s">
        <v>73</v>
      </c>
      <c r="N1313">
        <v>0</v>
      </c>
      <c r="O1313" t="s">
        <v>58</v>
      </c>
      <c r="P1313" t="s">
        <v>59</v>
      </c>
      <c r="Q1313" t="s">
        <v>274</v>
      </c>
      <c r="R1313" t="s">
        <v>2257</v>
      </c>
      <c r="S1313" s="1">
        <v>44437</v>
      </c>
      <c r="T1313" s="1">
        <v>44442</v>
      </c>
      <c r="U1313">
        <v>37501</v>
      </c>
      <c r="V1313" t="s">
        <v>61</v>
      </c>
      <c r="W1313" t="s">
        <v>2476</v>
      </c>
      <c r="X1313" s="1">
        <v>44448</v>
      </c>
      <c r="Y1313" t="s">
        <v>63</v>
      </c>
      <c r="Z1313">
        <v>199</v>
      </c>
      <c r="AA1313">
        <v>0</v>
      </c>
      <c r="AB1313">
        <v>0</v>
      </c>
      <c r="AC1313">
        <v>0</v>
      </c>
      <c r="AD1313">
        <v>199</v>
      </c>
      <c r="AE1313">
        <v>3706.69</v>
      </c>
      <c r="AF1313">
        <v>6000</v>
      </c>
      <c r="AG1313" t="s">
        <v>2451</v>
      </c>
      <c r="AH1313" t="s">
        <v>65</v>
      </c>
      <c r="AI1313" t="s">
        <v>65</v>
      </c>
      <c r="AJ1313" t="s">
        <v>66</v>
      </c>
      <c r="AK1313" t="s">
        <v>66</v>
      </c>
      <c r="AL1313" t="s">
        <v>66</v>
      </c>
      <c r="AM1313" s="2" t="str">
        <f>HYPERLINK("https://transparencia.cidesi.mx/comprobantes/2021/CQ2100767 /C1FACTURA_1631193744631_344235275.pdf")</f>
        <v>https://transparencia.cidesi.mx/comprobantes/2021/CQ2100767 /C1FACTURA_1631193744631_344235275.pdf</v>
      </c>
      <c r="AN1313" t="str">
        <f>HYPERLINK("https://transparencia.cidesi.mx/comprobantes/2021/CQ2100767 /C1FACTURA_1631193744631_344235275.pdf")</f>
        <v>https://transparencia.cidesi.mx/comprobantes/2021/CQ2100767 /C1FACTURA_1631193744631_344235275.pdf</v>
      </c>
      <c r="AO1313" t="str">
        <f>HYPERLINK("https://transparencia.cidesi.mx/comprobantes/2021/CQ2100767 /C1FACTURA_1631193745551_344235275.xml")</f>
        <v>https://transparencia.cidesi.mx/comprobantes/2021/CQ2100767 /C1FACTURA_1631193745551_344235275.xml</v>
      </c>
      <c r="AP1313" t="s">
        <v>2477</v>
      </c>
      <c r="AQ1313" t="s">
        <v>2478</v>
      </c>
      <c r="AR1313" t="s">
        <v>2479</v>
      </c>
      <c r="AS1313" t="s">
        <v>2480</v>
      </c>
      <c r="AT1313" s="1">
        <v>44449</v>
      </c>
      <c r="AU1313" s="1">
        <v>44467</v>
      </c>
    </row>
    <row r="1314" spans="1:47" x14ac:dyDescent="0.3">
      <c r="A1314" t="s">
        <v>47</v>
      </c>
      <c r="B1314" t="s">
        <v>48</v>
      </c>
      <c r="C1314" t="s">
        <v>849</v>
      </c>
      <c r="D1314">
        <v>100338</v>
      </c>
      <c r="E1314" t="s">
        <v>2447</v>
      </c>
      <c r="F1314" t="s">
        <v>351</v>
      </c>
      <c r="G1314" t="s">
        <v>2448</v>
      </c>
      <c r="H1314" t="s">
        <v>2475</v>
      </c>
      <c r="I1314" t="s">
        <v>54</v>
      </c>
      <c r="J1314" t="s">
        <v>2257</v>
      </c>
      <c r="K1314" t="s">
        <v>56</v>
      </c>
      <c r="L1314">
        <v>0</v>
      </c>
      <c r="M1314" t="s">
        <v>73</v>
      </c>
      <c r="N1314">
        <v>0</v>
      </c>
      <c r="O1314" t="s">
        <v>58</v>
      </c>
      <c r="P1314" t="s">
        <v>59</v>
      </c>
      <c r="Q1314" t="s">
        <v>274</v>
      </c>
      <c r="R1314" t="s">
        <v>2257</v>
      </c>
      <c r="S1314" s="1">
        <v>44437</v>
      </c>
      <c r="T1314" s="1">
        <v>44442</v>
      </c>
      <c r="U1314">
        <v>37501</v>
      </c>
      <c r="V1314" t="s">
        <v>61</v>
      </c>
      <c r="W1314" t="s">
        <v>2476</v>
      </c>
      <c r="X1314" s="1">
        <v>44448</v>
      </c>
      <c r="Y1314" t="s">
        <v>63</v>
      </c>
      <c r="Z1314">
        <v>351.72</v>
      </c>
      <c r="AA1314">
        <v>16</v>
      </c>
      <c r="AB1314">
        <v>56.28</v>
      </c>
      <c r="AC1314">
        <v>0</v>
      </c>
      <c r="AD1314">
        <v>408</v>
      </c>
      <c r="AE1314">
        <v>3706.69</v>
      </c>
      <c r="AF1314">
        <v>6000</v>
      </c>
      <c r="AG1314" t="s">
        <v>2451</v>
      </c>
      <c r="AH1314" t="s">
        <v>65</v>
      </c>
      <c r="AI1314" t="s">
        <v>65</v>
      </c>
      <c r="AJ1314" t="s">
        <v>66</v>
      </c>
      <c r="AK1314" t="s">
        <v>66</v>
      </c>
      <c r="AL1314" t="s">
        <v>66</v>
      </c>
      <c r="AM1314" s="2" t="str">
        <f>HYPERLINK("https://transparencia.cidesi.mx/comprobantes/2021/CQ2100767 /C2VIPS 408.pdf")</f>
        <v>https://transparencia.cidesi.mx/comprobantes/2021/CQ2100767 /C2VIPS 408.pdf</v>
      </c>
      <c r="AN1314" t="str">
        <f>HYPERLINK("https://transparencia.cidesi.mx/comprobantes/2021/CQ2100767 /C2VIPS 408.pdf")</f>
        <v>https://transparencia.cidesi.mx/comprobantes/2021/CQ2100767 /C2VIPS 408.pdf</v>
      </c>
      <c r="AO1314" t="str">
        <f>HYPERLINK("https://transparencia.cidesi.mx/comprobantes/2021/CQ2100767 /C2VIPS 408.xml")</f>
        <v>https://transparencia.cidesi.mx/comprobantes/2021/CQ2100767 /C2VIPS 408.xml</v>
      </c>
      <c r="AP1314" t="s">
        <v>2477</v>
      </c>
      <c r="AQ1314" t="s">
        <v>2478</v>
      </c>
      <c r="AR1314" t="s">
        <v>2479</v>
      </c>
      <c r="AS1314" t="s">
        <v>2480</v>
      </c>
      <c r="AT1314" s="1">
        <v>44449</v>
      </c>
      <c r="AU1314" s="1">
        <v>44467</v>
      </c>
    </row>
    <row r="1315" spans="1:47" x14ac:dyDescent="0.3">
      <c r="A1315" t="s">
        <v>47</v>
      </c>
      <c r="B1315" t="s">
        <v>48</v>
      </c>
      <c r="C1315" t="s">
        <v>849</v>
      </c>
      <c r="D1315">
        <v>100338</v>
      </c>
      <c r="E1315" t="s">
        <v>2447</v>
      </c>
      <c r="F1315" t="s">
        <v>351</v>
      </c>
      <c r="G1315" t="s">
        <v>2448</v>
      </c>
      <c r="H1315" t="s">
        <v>2475</v>
      </c>
      <c r="I1315" t="s">
        <v>54</v>
      </c>
      <c r="J1315" t="s">
        <v>2257</v>
      </c>
      <c r="K1315" t="s">
        <v>56</v>
      </c>
      <c r="L1315">
        <v>0</v>
      </c>
      <c r="M1315" t="s">
        <v>73</v>
      </c>
      <c r="N1315">
        <v>0</v>
      </c>
      <c r="O1315" t="s">
        <v>58</v>
      </c>
      <c r="P1315" t="s">
        <v>59</v>
      </c>
      <c r="Q1315" t="s">
        <v>274</v>
      </c>
      <c r="R1315" t="s">
        <v>2257</v>
      </c>
      <c r="S1315" s="1">
        <v>44437</v>
      </c>
      <c r="T1315" s="1">
        <v>44442</v>
      </c>
      <c r="U1315">
        <v>37501</v>
      </c>
      <c r="V1315" t="s">
        <v>61</v>
      </c>
      <c r="W1315" t="s">
        <v>2476</v>
      </c>
      <c r="X1315" s="1">
        <v>44448</v>
      </c>
      <c r="Y1315" t="s">
        <v>63</v>
      </c>
      <c r="Z1315">
        <v>351.72</v>
      </c>
      <c r="AA1315">
        <v>16</v>
      </c>
      <c r="AB1315">
        <v>56.28</v>
      </c>
      <c r="AC1315">
        <v>0</v>
      </c>
      <c r="AD1315">
        <v>408</v>
      </c>
      <c r="AE1315">
        <v>3706.69</v>
      </c>
      <c r="AF1315">
        <v>6000</v>
      </c>
      <c r="AG1315" t="s">
        <v>2451</v>
      </c>
      <c r="AH1315" t="s">
        <v>65</v>
      </c>
      <c r="AI1315" t="s">
        <v>65</v>
      </c>
      <c r="AJ1315" t="s">
        <v>66</v>
      </c>
      <c r="AK1315" t="s">
        <v>66</v>
      </c>
      <c r="AL1315" t="s">
        <v>66</v>
      </c>
      <c r="AM1315" s="2" t="str">
        <f>HYPERLINK("https://transparencia.cidesi.mx/comprobantes/2021/CQ2100767 /C3VIPS MORAL.pdf")</f>
        <v>https://transparencia.cidesi.mx/comprobantes/2021/CQ2100767 /C3VIPS MORAL.pdf</v>
      </c>
      <c r="AN1315" t="str">
        <f>HYPERLINK("https://transparencia.cidesi.mx/comprobantes/2021/CQ2100767 /C3VIPS MORAL.pdf")</f>
        <v>https://transparencia.cidesi.mx/comprobantes/2021/CQ2100767 /C3VIPS MORAL.pdf</v>
      </c>
      <c r="AO1315" t="str">
        <f>HYPERLINK("https://transparencia.cidesi.mx/comprobantes/2021/CQ2100767 /C3VIPS MORAL.xml")</f>
        <v>https://transparencia.cidesi.mx/comprobantes/2021/CQ2100767 /C3VIPS MORAL.xml</v>
      </c>
      <c r="AP1315" t="s">
        <v>2477</v>
      </c>
      <c r="AQ1315" t="s">
        <v>2478</v>
      </c>
      <c r="AR1315" t="s">
        <v>2479</v>
      </c>
      <c r="AS1315" t="s">
        <v>2480</v>
      </c>
      <c r="AT1315" s="1">
        <v>44449</v>
      </c>
      <c r="AU1315" s="1">
        <v>44467</v>
      </c>
    </row>
    <row r="1316" spans="1:47" x14ac:dyDescent="0.3">
      <c r="A1316" t="s">
        <v>47</v>
      </c>
      <c r="B1316" t="s">
        <v>48</v>
      </c>
      <c r="C1316" t="s">
        <v>849</v>
      </c>
      <c r="D1316">
        <v>100338</v>
      </c>
      <c r="E1316" t="s">
        <v>2447</v>
      </c>
      <c r="F1316" t="s">
        <v>351</v>
      </c>
      <c r="G1316" t="s">
        <v>2448</v>
      </c>
      <c r="H1316" t="s">
        <v>2475</v>
      </c>
      <c r="I1316" t="s">
        <v>54</v>
      </c>
      <c r="J1316" t="s">
        <v>2257</v>
      </c>
      <c r="K1316" t="s">
        <v>56</v>
      </c>
      <c r="L1316">
        <v>0</v>
      </c>
      <c r="M1316" t="s">
        <v>73</v>
      </c>
      <c r="N1316">
        <v>0</v>
      </c>
      <c r="O1316" t="s">
        <v>58</v>
      </c>
      <c r="P1316" t="s">
        <v>59</v>
      </c>
      <c r="Q1316" t="s">
        <v>274</v>
      </c>
      <c r="R1316" t="s">
        <v>2257</v>
      </c>
      <c r="S1316" s="1">
        <v>44437</v>
      </c>
      <c r="T1316" s="1">
        <v>44442</v>
      </c>
      <c r="U1316">
        <v>37501</v>
      </c>
      <c r="V1316" t="s">
        <v>61</v>
      </c>
      <c r="W1316" t="s">
        <v>2476</v>
      </c>
      <c r="X1316" s="1">
        <v>44448</v>
      </c>
      <c r="Y1316" t="s">
        <v>63</v>
      </c>
      <c r="Z1316">
        <v>386.21</v>
      </c>
      <c r="AA1316">
        <v>16</v>
      </c>
      <c r="AB1316">
        <v>61.79</v>
      </c>
      <c r="AC1316">
        <v>0</v>
      </c>
      <c r="AD1316">
        <v>448</v>
      </c>
      <c r="AE1316">
        <v>3706.69</v>
      </c>
      <c r="AF1316">
        <v>6000</v>
      </c>
      <c r="AG1316" t="s">
        <v>2451</v>
      </c>
      <c r="AH1316" t="s">
        <v>65</v>
      </c>
      <c r="AI1316" t="s">
        <v>65</v>
      </c>
      <c r="AJ1316" t="s">
        <v>66</v>
      </c>
      <c r="AK1316" t="s">
        <v>66</v>
      </c>
      <c r="AL1316" t="s">
        <v>66</v>
      </c>
      <c r="AM1316" s="2" t="str">
        <f>HYPERLINK("https://transparencia.cidesi.mx/comprobantes/2021/CQ2100767 /C4QUINCHO 448.pdf")</f>
        <v>https://transparencia.cidesi.mx/comprobantes/2021/CQ2100767 /C4QUINCHO 448.pdf</v>
      </c>
      <c r="AN1316" t="str">
        <f>HYPERLINK("https://transparencia.cidesi.mx/comprobantes/2021/CQ2100767 /C4QUINCHO 448.pdf")</f>
        <v>https://transparencia.cidesi.mx/comprobantes/2021/CQ2100767 /C4QUINCHO 448.pdf</v>
      </c>
      <c r="AO1316" t="str">
        <f>HYPERLINK("https://transparencia.cidesi.mx/comprobantes/2021/CQ2100767 /C4QUINCHO 485.xml")</f>
        <v>https://transparencia.cidesi.mx/comprobantes/2021/CQ2100767 /C4QUINCHO 485.xml</v>
      </c>
      <c r="AP1316" t="s">
        <v>2477</v>
      </c>
      <c r="AQ1316" t="s">
        <v>2478</v>
      </c>
      <c r="AR1316" t="s">
        <v>2479</v>
      </c>
      <c r="AS1316" t="s">
        <v>2480</v>
      </c>
      <c r="AT1316" s="1">
        <v>44449</v>
      </c>
      <c r="AU1316" s="1">
        <v>44467</v>
      </c>
    </row>
    <row r="1317" spans="1:47" x14ac:dyDescent="0.3">
      <c r="A1317" t="s">
        <v>47</v>
      </c>
      <c r="B1317" t="s">
        <v>48</v>
      </c>
      <c r="C1317" t="s">
        <v>849</v>
      </c>
      <c r="D1317">
        <v>100338</v>
      </c>
      <c r="E1317" t="s">
        <v>2447</v>
      </c>
      <c r="F1317" t="s">
        <v>351</v>
      </c>
      <c r="G1317" t="s">
        <v>2448</v>
      </c>
      <c r="H1317" t="s">
        <v>2475</v>
      </c>
      <c r="I1317" t="s">
        <v>54</v>
      </c>
      <c r="J1317" t="s">
        <v>2257</v>
      </c>
      <c r="K1317" t="s">
        <v>56</v>
      </c>
      <c r="L1317">
        <v>0</v>
      </c>
      <c r="M1317" t="s">
        <v>73</v>
      </c>
      <c r="N1317">
        <v>0</v>
      </c>
      <c r="O1317" t="s">
        <v>58</v>
      </c>
      <c r="P1317" t="s">
        <v>59</v>
      </c>
      <c r="Q1317" t="s">
        <v>274</v>
      </c>
      <c r="R1317" t="s">
        <v>2257</v>
      </c>
      <c r="S1317" s="1">
        <v>44437</v>
      </c>
      <c r="T1317" s="1">
        <v>44442</v>
      </c>
      <c r="U1317">
        <v>37501</v>
      </c>
      <c r="V1317" t="s">
        <v>104</v>
      </c>
      <c r="W1317" t="s">
        <v>2476</v>
      </c>
      <c r="X1317" s="1">
        <v>44448</v>
      </c>
      <c r="Y1317" t="s">
        <v>63</v>
      </c>
      <c r="Z1317">
        <v>419.79</v>
      </c>
      <c r="AA1317">
        <v>16</v>
      </c>
      <c r="AB1317">
        <v>65.209999999999994</v>
      </c>
      <c r="AC1317">
        <v>0</v>
      </c>
      <c r="AD1317">
        <v>485</v>
      </c>
      <c r="AE1317">
        <v>3706.69</v>
      </c>
      <c r="AF1317">
        <v>6000</v>
      </c>
      <c r="AG1317" t="s">
        <v>2463</v>
      </c>
      <c r="AH1317" t="s">
        <v>65</v>
      </c>
      <c r="AI1317" t="s">
        <v>65</v>
      </c>
      <c r="AJ1317" t="s">
        <v>66</v>
      </c>
      <c r="AK1317" t="s">
        <v>66</v>
      </c>
      <c r="AL1317" t="s">
        <v>66</v>
      </c>
      <c r="AM1317" s="2" t="str">
        <f>HYPERLINK("https://transparencia.cidesi.mx/comprobantes/2021/CQ2100767 /C5TLAYOLAN 485.pdf")</f>
        <v>https://transparencia.cidesi.mx/comprobantes/2021/CQ2100767 /C5TLAYOLAN 485.pdf</v>
      </c>
      <c r="AN1317" t="str">
        <f>HYPERLINK("https://transparencia.cidesi.mx/comprobantes/2021/CQ2100767 /C5TLAYOLAN 485.pdf")</f>
        <v>https://transparencia.cidesi.mx/comprobantes/2021/CQ2100767 /C5TLAYOLAN 485.pdf</v>
      </c>
      <c r="AO1317" t="str">
        <f>HYPERLINK("https://transparencia.cidesi.mx/comprobantes/2021/CQ2100767 /C5TLAYOLAN 485.xml")</f>
        <v>https://transparencia.cidesi.mx/comprobantes/2021/CQ2100767 /C5TLAYOLAN 485.xml</v>
      </c>
      <c r="AP1317" t="s">
        <v>2477</v>
      </c>
      <c r="AQ1317" t="s">
        <v>2478</v>
      </c>
      <c r="AR1317" t="s">
        <v>2479</v>
      </c>
      <c r="AS1317" t="s">
        <v>2480</v>
      </c>
      <c r="AT1317" s="1">
        <v>44449</v>
      </c>
      <c r="AU1317" s="1">
        <v>44467</v>
      </c>
    </row>
    <row r="1318" spans="1:47" x14ac:dyDescent="0.3">
      <c r="A1318" t="s">
        <v>47</v>
      </c>
      <c r="B1318" t="s">
        <v>48</v>
      </c>
      <c r="C1318" t="s">
        <v>849</v>
      </c>
      <c r="D1318">
        <v>100338</v>
      </c>
      <c r="E1318" t="s">
        <v>2447</v>
      </c>
      <c r="F1318" t="s">
        <v>351</v>
      </c>
      <c r="G1318" t="s">
        <v>2448</v>
      </c>
      <c r="H1318" t="s">
        <v>2475</v>
      </c>
      <c r="I1318" t="s">
        <v>54</v>
      </c>
      <c r="J1318" t="s">
        <v>2257</v>
      </c>
      <c r="K1318" t="s">
        <v>56</v>
      </c>
      <c r="L1318">
        <v>0</v>
      </c>
      <c r="M1318" t="s">
        <v>73</v>
      </c>
      <c r="N1318">
        <v>0</v>
      </c>
      <c r="O1318" t="s">
        <v>58</v>
      </c>
      <c r="P1318" t="s">
        <v>59</v>
      </c>
      <c r="Q1318" t="s">
        <v>274</v>
      </c>
      <c r="R1318" t="s">
        <v>2257</v>
      </c>
      <c r="S1318" s="1">
        <v>44437</v>
      </c>
      <c r="T1318" s="1">
        <v>44442</v>
      </c>
      <c r="U1318">
        <v>37501</v>
      </c>
      <c r="V1318" t="s">
        <v>61</v>
      </c>
      <c r="W1318" t="s">
        <v>2476</v>
      </c>
      <c r="X1318" s="1">
        <v>44448</v>
      </c>
      <c r="Y1318" t="s">
        <v>63</v>
      </c>
      <c r="Z1318">
        <v>181.03</v>
      </c>
      <c r="AA1318">
        <v>16</v>
      </c>
      <c r="AB1318">
        <v>28.97</v>
      </c>
      <c r="AC1318">
        <v>0</v>
      </c>
      <c r="AD1318">
        <v>210</v>
      </c>
      <c r="AE1318">
        <v>3706.69</v>
      </c>
      <c r="AF1318">
        <v>6000</v>
      </c>
      <c r="AG1318" t="s">
        <v>2451</v>
      </c>
      <c r="AH1318" t="s">
        <v>65</v>
      </c>
      <c r="AI1318" t="s">
        <v>66</v>
      </c>
      <c r="AJ1318" t="s">
        <v>66</v>
      </c>
      <c r="AK1318" t="s">
        <v>66</v>
      </c>
      <c r="AL1318" t="s">
        <v>66</v>
      </c>
      <c r="AM1318" s="2" t="str">
        <f>HYPERLINK("https://transparencia.cidesi.mx/comprobantes/2021/CQ2100767 /C6TLAYOLAN 210.pdf")</f>
        <v>https://transparencia.cidesi.mx/comprobantes/2021/CQ2100767 /C6TLAYOLAN 210.pdf</v>
      </c>
      <c r="AN1318" t="str">
        <f>HYPERLINK("https://transparencia.cidesi.mx/comprobantes/2021/CQ2100767 /C6TLAYOLAN 210.pdf")</f>
        <v>https://transparencia.cidesi.mx/comprobantes/2021/CQ2100767 /C6TLAYOLAN 210.pdf</v>
      </c>
      <c r="AO1318" t="s">
        <v>73</v>
      </c>
      <c r="AP1318" t="s">
        <v>2477</v>
      </c>
      <c r="AQ1318" t="s">
        <v>2478</v>
      </c>
      <c r="AR1318" t="s">
        <v>2479</v>
      </c>
      <c r="AS1318" t="s">
        <v>2480</v>
      </c>
      <c r="AT1318" s="1">
        <v>44449</v>
      </c>
      <c r="AU1318" s="1">
        <v>44467</v>
      </c>
    </row>
    <row r="1319" spans="1:47" x14ac:dyDescent="0.3">
      <c r="A1319" t="s">
        <v>47</v>
      </c>
      <c r="B1319" t="s">
        <v>48</v>
      </c>
      <c r="C1319" t="s">
        <v>849</v>
      </c>
      <c r="D1319">
        <v>100338</v>
      </c>
      <c r="E1319" t="s">
        <v>2447</v>
      </c>
      <c r="F1319" t="s">
        <v>351</v>
      </c>
      <c r="G1319" t="s">
        <v>2448</v>
      </c>
      <c r="H1319" t="s">
        <v>2475</v>
      </c>
      <c r="I1319" t="s">
        <v>54</v>
      </c>
      <c r="J1319" t="s">
        <v>2257</v>
      </c>
      <c r="K1319" t="s">
        <v>56</v>
      </c>
      <c r="L1319">
        <v>0</v>
      </c>
      <c r="M1319" t="s">
        <v>73</v>
      </c>
      <c r="N1319">
        <v>0</v>
      </c>
      <c r="O1319" t="s">
        <v>58</v>
      </c>
      <c r="P1319" t="s">
        <v>59</v>
      </c>
      <c r="Q1319" t="s">
        <v>274</v>
      </c>
      <c r="R1319" t="s">
        <v>2257</v>
      </c>
      <c r="S1319" s="1">
        <v>44437</v>
      </c>
      <c r="T1319" s="1">
        <v>44442</v>
      </c>
      <c r="U1319">
        <v>37501</v>
      </c>
      <c r="V1319" t="s">
        <v>61</v>
      </c>
      <c r="W1319" t="s">
        <v>2476</v>
      </c>
      <c r="X1319" s="1">
        <v>44448</v>
      </c>
      <c r="Y1319" t="s">
        <v>63</v>
      </c>
      <c r="Z1319">
        <v>297.41000000000003</v>
      </c>
      <c r="AA1319">
        <v>16</v>
      </c>
      <c r="AB1319">
        <v>47.59</v>
      </c>
      <c r="AC1319">
        <v>0</v>
      </c>
      <c r="AD1319">
        <v>345</v>
      </c>
      <c r="AE1319">
        <v>3706.69</v>
      </c>
      <c r="AF1319">
        <v>6000</v>
      </c>
      <c r="AG1319" t="s">
        <v>2451</v>
      </c>
      <c r="AH1319" t="s">
        <v>65</v>
      </c>
      <c r="AI1319" t="s">
        <v>65</v>
      </c>
      <c r="AJ1319" t="s">
        <v>66</v>
      </c>
      <c r="AK1319" t="s">
        <v>66</v>
      </c>
      <c r="AL1319" t="s">
        <v>66</v>
      </c>
      <c r="AM1319" s="2" t="str">
        <f>HYPERLINK("https://transparencia.cidesi.mx/comprobantes/2021/CQ2100767 /C7TLAYOLAN 345.pdf")</f>
        <v>https://transparencia.cidesi.mx/comprobantes/2021/CQ2100767 /C7TLAYOLAN 345.pdf</v>
      </c>
      <c r="AN1319" t="str">
        <f>HYPERLINK("https://transparencia.cidesi.mx/comprobantes/2021/CQ2100767 /C7TLAYOLAN 345.pdf")</f>
        <v>https://transparencia.cidesi.mx/comprobantes/2021/CQ2100767 /C7TLAYOLAN 345.pdf</v>
      </c>
      <c r="AO1319" t="str">
        <f>HYPERLINK("https://transparencia.cidesi.mx/comprobantes/2021/CQ2100767 /C7TLAYOLAN 345.xml")</f>
        <v>https://transparencia.cidesi.mx/comprobantes/2021/CQ2100767 /C7TLAYOLAN 345.xml</v>
      </c>
      <c r="AP1319" t="s">
        <v>2477</v>
      </c>
      <c r="AQ1319" t="s">
        <v>2478</v>
      </c>
      <c r="AR1319" t="s">
        <v>2479</v>
      </c>
      <c r="AS1319" t="s">
        <v>2480</v>
      </c>
      <c r="AT1319" s="1">
        <v>44449</v>
      </c>
      <c r="AU1319" s="1">
        <v>44467</v>
      </c>
    </row>
    <row r="1320" spans="1:47" x14ac:dyDescent="0.3">
      <c r="A1320" t="s">
        <v>47</v>
      </c>
      <c r="B1320" t="s">
        <v>48</v>
      </c>
      <c r="C1320" t="s">
        <v>849</v>
      </c>
      <c r="D1320">
        <v>100338</v>
      </c>
      <c r="E1320" t="s">
        <v>2447</v>
      </c>
      <c r="F1320" t="s">
        <v>351</v>
      </c>
      <c r="G1320" t="s">
        <v>2448</v>
      </c>
      <c r="H1320" t="s">
        <v>2475</v>
      </c>
      <c r="I1320" t="s">
        <v>54</v>
      </c>
      <c r="J1320" t="s">
        <v>2257</v>
      </c>
      <c r="K1320" t="s">
        <v>56</v>
      </c>
      <c r="L1320">
        <v>0</v>
      </c>
      <c r="M1320" t="s">
        <v>73</v>
      </c>
      <c r="N1320">
        <v>0</v>
      </c>
      <c r="O1320" t="s">
        <v>58</v>
      </c>
      <c r="P1320" t="s">
        <v>59</v>
      </c>
      <c r="Q1320" t="s">
        <v>274</v>
      </c>
      <c r="R1320" t="s">
        <v>2257</v>
      </c>
      <c r="S1320" s="1">
        <v>44437</v>
      </c>
      <c r="T1320" s="1">
        <v>44442</v>
      </c>
      <c r="U1320">
        <v>37501</v>
      </c>
      <c r="V1320" t="s">
        <v>104</v>
      </c>
      <c r="W1320" t="s">
        <v>2476</v>
      </c>
      <c r="X1320" s="1">
        <v>44448</v>
      </c>
      <c r="Y1320" t="s">
        <v>63</v>
      </c>
      <c r="Z1320">
        <v>1041.8499999999999</v>
      </c>
      <c r="AA1320">
        <v>16</v>
      </c>
      <c r="AB1320">
        <v>161.84</v>
      </c>
      <c r="AC1320">
        <v>0</v>
      </c>
      <c r="AD1320">
        <v>1203.69</v>
      </c>
      <c r="AE1320">
        <v>3706.69</v>
      </c>
      <c r="AF1320">
        <v>6000</v>
      </c>
      <c r="AG1320" t="s">
        <v>2463</v>
      </c>
      <c r="AH1320" t="s">
        <v>65</v>
      </c>
      <c r="AI1320" t="s">
        <v>65</v>
      </c>
      <c r="AJ1320" t="s">
        <v>66</v>
      </c>
      <c r="AK1320" t="s">
        <v>66</v>
      </c>
      <c r="AL1320" t="s">
        <v>66</v>
      </c>
      <c r="AM1320" s="2" t="str">
        <f>HYPERLINK("https://transparencia.cidesi.mx/comprobantes/2021/CQ2100767 /C8HOTEL EXPRES.pdf")</f>
        <v>https://transparencia.cidesi.mx/comprobantes/2021/CQ2100767 /C8HOTEL EXPRES.pdf</v>
      </c>
      <c r="AN1320" t="str">
        <f>HYPERLINK("https://transparencia.cidesi.mx/comprobantes/2021/CQ2100767 /C8HOTEL EXPRES.pdf")</f>
        <v>https://transparencia.cidesi.mx/comprobantes/2021/CQ2100767 /C8HOTEL EXPRES.pdf</v>
      </c>
      <c r="AO1320" t="str">
        <f>HYPERLINK("https://transparencia.cidesi.mx/comprobantes/2021/CQ2100767 /C8HOTEL EXPRES.xml")</f>
        <v>https://transparencia.cidesi.mx/comprobantes/2021/CQ2100767 /C8HOTEL EXPRES.xml</v>
      </c>
      <c r="AP1320" t="s">
        <v>2477</v>
      </c>
      <c r="AQ1320" t="s">
        <v>2478</v>
      </c>
      <c r="AR1320" t="s">
        <v>2479</v>
      </c>
      <c r="AS1320" t="s">
        <v>2480</v>
      </c>
      <c r="AT1320" s="1">
        <v>44449</v>
      </c>
      <c r="AU1320" s="1">
        <v>44467</v>
      </c>
    </row>
    <row r="1321" spans="1:47" x14ac:dyDescent="0.3">
      <c r="A1321" t="s">
        <v>2481</v>
      </c>
      <c r="B1321" t="s">
        <v>80</v>
      </c>
      <c r="C1321" t="s">
        <v>2482</v>
      </c>
      <c r="D1321">
        <v>100405</v>
      </c>
      <c r="E1321" t="s">
        <v>2483</v>
      </c>
      <c r="F1321" t="s">
        <v>2484</v>
      </c>
      <c r="G1321" t="s">
        <v>912</v>
      </c>
      <c r="H1321" t="s">
        <v>2485</v>
      </c>
      <c r="I1321" t="s">
        <v>54</v>
      </c>
      <c r="J1321" t="s">
        <v>2486</v>
      </c>
      <c r="K1321" t="s">
        <v>56</v>
      </c>
      <c r="L1321">
        <v>0</v>
      </c>
      <c r="M1321" t="s">
        <v>73</v>
      </c>
      <c r="N1321">
        <v>0</v>
      </c>
      <c r="O1321" t="s">
        <v>58</v>
      </c>
      <c r="P1321" t="s">
        <v>1527</v>
      </c>
      <c r="Q1321" t="s">
        <v>1432</v>
      </c>
      <c r="R1321" t="s">
        <v>2486</v>
      </c>
      <c r="S1321" s="1">
        <v>44466</v>
      </c>
      <c r="T1321" s="1">
        <v>44468</v>
      </c>
      <c r="U1321">
        <v>37501</v>
      </c>
      <c r="V1321" t="s">
        <v>61</v>
      </c>
      <c r="W1321" t="s">
        <v>2487</v>
      </c>
      <c r="X1321" s="1">
        <v>44473</v>
      </c>
      <c r="Y1321" t="s">
        <v>207</v>
      </c>
      <c r="Z1321">
        <v>146.56</v>
      </c>
      <c r="AA1321">
        <v>16</v>
      </c>
      <c r="AB1321">
        <v>23.45</v>
      </c>
      <c r="AC1321">
        <v>0</v>
      </c>
      <c r="AD1321">
        <v>170.01</v>
      </c>
      <c r="AE1321">
        <v>1937.43</v>
      </c>
      <c r="AF1321">
        <v>2727</v>
      </c>
      <c r="AG1321" t="s">
        <v>2488</v>
      </c>
      <c r="AH1321" t="s">
        <v>65</v>
      </c>
      <c r="AI1321" t="s">
        <v>65</v>
      </c>
      <c r="AJ1321" t="s">
        <v>66</v>
      </c>
      <c r="AK1321" t="s">
        <v>66</v>
      </c>
      <c r="AL1321" t="s">
        <v>66</v>
      </c>
      <c r="AM1321" s="2" t="str">
        <f>HYPERLINK("https://transparencia.cidesi.mx/comprobantes/2021/CN2100010 /C1POTE00070893 27-09-2021 CENTRO DE INGENIERIA Y DESARROLLO INDUSTRIAL.pdf")</f>
        <v>https://transparencia.cidesi.mx/comprobantes/2021/CN2100010 /C1POTE00070893 27-09-2021 CENTRO DE INGENIERIA Y DESARROLLO INDUSTRIAL.pdf</v>
      </c>
      <c r="AN1321" t="str">
        <f>HYPERLINK("https://transparencia.cidesi.mx/comprobantes/2021/CN2100010 /C1POTE00070893 27-09-2021 CENTRO DE INGENIERIA Y DESARROLLO INDUSTRIAL.pdf")</f>
        <v>https://transparencia.cidesi.mx/comprobantes/2021/CN2100010 /C1POTE00070893 27-09-2021 CENTRO DE INGENIERIA Y DESARROLLO INDUSTRIAL.pdf</v>
      </c>
      <c r="AO1321" t="str">
        <f>HYPERLINK("https://transparencia.cidesi.mx/comprobantes/2021/CN2100010 /C1POTE00070893 27-09-2021 CENTRO DE INGENIERIA Y DESARROLLO INDUSTRIAL.xml")</f>
        <v>https://transparencia.cidesi.mx/comprobantes/2021/CN2100010 /C1POTE00070893 27-09-2021 CENTRO DE INGENIERIA Y DESARROLLO INDUSTRIAL.xml</v>
      </c>
      <c r="AP1321" t="s">
        <v>2489</v>
      </c>
      <c r="AQ1321" t="s">
        <v>2490</v>
      </c>
      <c r="AR1321" t="s">
        <v>2491</v>
      </c>
      <c r="AS1321" t="s">
        <v>2492</v>
      </c>
      <c r="AT1321" s="1">
        <v>44475</v>
      </c>
      <c r="AU1321" t="s">
        <v>73</v>
      </c>
    </row>
    <row r="1322" spans="1:47" x14ac:dyDescent="0.3">
      <c r="A1322" t="s">
        <v>2481</v>
      </c>
      <c r="B1322" t="s">
        <v>80</v>
      </c>
      <c r="C1322" t="s">
        <v>2482</v>
      </c>
      <c r="D1322">
        <v>100405</v>
      </c>
      <c r="E1322" t="s">
        <v>2483</v>
      </c>
      <c r="F1322" t="s">
        <v>2484</v>
      </c>
      <c r="G1322" t="s">
        <v>912</v>
      </c>
      <c r="H1322" t="s">
        <v>2485</v>
      </c>
      <c r="I1322" t="s">
        <v>54</v>
      </c>
      <c r="J1322" t="s">
        <v>2486</v>
      </c>
      <c r="K1322" t="s">
        <v>56</v>
      </c>
      <c r="L1322">
        <v>0</v>
      </c>
      <c r="M1322" t="s">
        <v>73</v>
      </c>
      <c r="N1322">
        <v>0</v>
      </c>
      <c r="O1322" t="s">
        <v>58</v>
      </c>
      <c r="P1322" t="s">
        <v>1527</v>
      </c>
      <c r="Q1322" t="s">
        <v>1432</v>
      </c>
      <c r="R1322" t="s">
        <v>2486</v>
      </c>
      <c r="S1322" s="1">
        <v>44466</v>
      </c>
      <c r="T1322" s="1">
        <v>44468</v>
      </c>
      <c r="U1322">
        <v>37501</v>
      </c>
      <c r="V1322" t="s">
        <v>61</v>
      </c>
      <c r="W1322" t="s">
        <v>2487</v>
      </c>
      <c r="X1322" s="1">
        <v>44473</v>
      </c>
      <c r="Y1322" t="s">
        <v>207</v>
      </c>
      <c r="Z1322">
        <v>83.02</v>
      </c>
      <c r="AA1322">
        <v>16</v>
      </c>
      <c r="AB1322">
        <v>6.48</v>
      </c>
      <c r="AC1322">
        <v>0</v>
      </c>
      <c r="AD1322">
        <v>89.5</v>
      </c>
      <c r="AE1322">
        <v>1937.43</v>
      </c>
      <c r="AF1322">
        <v>2727</v>
      </c>
      <c r="AG1322" t="s">
        <v>2488</v>
      </c>
      <c r="AH1322" t="s">
        <v>65</v>
      </c>
      <c r="AI1322" t="s">
        <v>65</v>
      </c>
      <c r="AJ1322" t="s">
        <v>66</v>
      </c>
      <c r="AK1322" t="s">
        <v>66</v>
      </c>
      <c r="AL1322" t="s">
        <v>66</v>
      </c>
      <c r="AM1322" s="2" t="str">
        <f>HYPERLINK("https://transparencia.cidesi.mx/comprobantes/2021/CN2100010 /C2FACTURA_1632939483025_346615307.pdf")</f>
        <v>https://transparencia.cidesi.mx/comprobantes/2021/CN2100010 /C2FACTURA_1632939483025_346615307.pdf</v>
      </c>
      <c r="AN1322" t="str">
        <f>HYPERLINK("https://transparencia.cidesi.mx/comprobantes/2021/CN2100010 /C2FACTURA_1632939483025_346615307.pdf")</f>
        <v>https://transparencia.cidesi.mx/comprobantes/2021/CN2100010 /C2FACTURA_1632939483025_346615307.pdf</v>
      </c>
      <c r="AO1322" t="str">
        <f>HYPERLINK("https://transparencia.cidesi.mx/comprobantes/2021/CN2100010 /C2FACTURA_1632939483025_346615307.xml")</f>
        <v>https://transparencia.cidesi.mx/comprobantes/2021/CN2100010 /C2FACTURA_1632939483025_346615307.xml</v>
      </c>
      <c r="AP1322" t="s">
        <v>2489</v>
      </c>
      <c r="AQ1322" t="s">
        <v>2490</v>
      </c>
      <c r="AR1322" t="s">
        <v>2491</v>
      </c>
      <c r="AS1322" t="s">
        <v>2492</v>
      </c>
      <c r="AT1322" s="1">
        <v>44475</v>
      </c>
      <c r="AU1322" t="s">
        <v>73</v>
      </c>
    </row>
    <row r="1323" spans="1:47" x14ac:dyDescent="0.3">
      <c r="A1323" t="s">
        <v>2481</v>
      </c>
      <c r="B1323" t="s">
        <v>80</v>
      </c>
      <c r="C1323" t="s">
        <v>2482</v>
      </c>
      <c r="D1323">
        <v>100405</v>
      </c>
      <c r="E1323" t="s">
        <v>2483</v>
      </c>
      <c r="F1323" t="s">
        <v>2484</v>
      </c>
      <c r="G1323" t="s">
        <v>912</v>
      </c>
      <c r="H1323" t="s">
        <v>2485</v>
      </c>
      <c r="I1323" t="s">
        <v>54</v>
      </c>
      <c r="J1323" t="s">
        <v>2486</v>
      </c>
      <c r="K1323" t="s">
        <v>56</v>
      </c>
      <c r="L1323">
        <v>0</v>
      </c>
      <c r="M1323" t="s">
        <v>73</v>
      </c>
      <c r="N1323">
        <v>0</v>
      </c>
      <c r="O1323" t="s">
        <v>58</v>
      </c>
      <c r="P1323" t="s">
        <v>1527</v>
      </c>
      <c r="Q1323" t="s">
        <v>1432</v>
      </c>
      <c r="R1323" t="s">
        <v>2486</v>
      </c>
      <c r="S1323" s="1">
        <v>44466</v>
      </c>
      <c r="T1323" s="1">
        <v>44468</v>
      </c>
      <c r="U1323">
        <v>37501</v>
      </c>
      <c r="V1323" t="s">
        <v>61</v>
      </c>
      <c r="W1323" t="s">
        <v>2487</v>
      </c>
      <c r="X1323" s="1">
        <v>44473</v>
      </c>
      <c r="Y1323" t="s">
        <v>207</v>
      </c>
      <c r="Z1323">
        <v>118.97</v>
      </c>
      <c r="AA1323">
        <v>16</v>
      </c>
      <c r="AB1323">
        <v>19.04</v>
      </c>
      <c r="AC1323">
        <v>0</v>
      </c>
      <c r="AD1323">
        <v>138.01</v>
      </c>
      <c r="AE1323">
        <v>1937.43</v>
      </c>
      <c r="AF1323">
        <v>2727</v>
      </c>
      <c r="AG1323" t="s">
        <v>2488</v>
      </c>
      <c r="AH1323" t="s">
        <v>65</v>
      </c>
      <c r="AI1323" t="s">
        <v>65</v>
      </c>
      <c r="AJ1323" t="s">
        <v>66</v>
      </c>
      <c r="AK1323" t="s">
        <v>66</v>
      </c>
      <c r="AL1323" t="s">
        <v>66</v>
      </c>
      <c r="AM1323" s="2" t="str">
        <f>HYPERLINK("https://transparencia.cidesi.mx/comprobantes/2021/CN2100010 /C3aaa155ba-a866-40ae-9013-556f8051ca85 (2).pdf")</f>
        <v>https://transparencia.cidesi.mx/comprobantes/2021/CN2100010 /C3aaa155ba-a866-40ae-9013-556f8051ca85 (2).pdf</v>
      </c>
      <c r="AN1323" t="str">
        <f>HYPERLINK("https://transparencia.cidesi.mx/comprobantes/2021/CN2100010 /C3aaa155ba-a866-40ae-9013-556f8051ca85 (2).pdf")</f>
        <v>https://transparencia.cidesi.mx/comprobantes/2021/CN2100010 /C3aaa155ba-a866-40ae-9013-556f8051ca85 (2).pdf</v>
      </c>
      <c r="AO1323" t="str">
        <f>HYPERLINK("https://transparencia.cidesi.mx/comprobantes/2021/CN2100010 /C3aaa155ba-a866-40ae-9013-556f8051ca85.xml")</f>
        <v>https://transparencia.cidesi.mx/comprobantes/2021/CN2100010 /C3aaa155ba-a866-40ae-9013-556f8051ca85.xml</v>
      </c>
      <c r="AP1323" t="s">
        <v>2489</v>
      </c>
      <c r="AQ1323" t="s">
        <v>2490</v>
      </c>
      <c r="AR1323" t="s">
        <v>2491</v>
      </c>
      <c r="AS1323" t="s">
        <v>2492</v>
      </c>
      <c r="AT1323" s="1">
        <v>44475</v>
      </c>
      <c r="AU1323" t="s">
        <v>73</v>
      </c>
    </row>
    <row r="1324" spans="1:47" x14ac:dyDescent="0.3">
      <c r="A1324" t="s">
        <v>2481</v>
      </c>
      <c r="B1324" t="s">
        <v>80</v>
      </c>
      <c r="C1324" t="s">
        <v>2482</v>
      </c>
      <c r="D1324">
        <v>100405</v>
      </c>
      <c r="E1324" t="s">
        <v>2483</v>
      </c>
      <c r="F1324" t="s">
        <v>2484</v>
      </c>
      <c r="G1324" t="s">
        <v>912</v>
      </c>
      <c r="H1324" t="s">
        <v>2485</v>
      </c>
      <c r="I1324" t="s">
        <v>54</v>
      </c>
      <c r="J1324" t="s">
        <v>2486</v>
      </c>
      <c r="K1324" t="s">
        <v>56</v>
      </c>
      <c r="L1324">
        <v>0</v>
      </c>
      <c r="M1324" t="s">
        <v>73</v>
      </c>
      <c r="N1324">
        <v>0</v>
      </c>
      <c r="O1324" t="s">
        <v>58</v>
      </c>
      <c r="P1324" t="s">
        <v>1527</v>
      </c>
      <c r="Q1324" t="s">
        <v>1432</v>
      </c>
      <c r="R1324" t="s">
        <v>2486</v>
      </c>
      <c r="S1324" s="1">
        <v>44466</v>
      </c>
      <c r="T1324" s="1">
        <v>44468</v>
      </c>
      <c r="U1324">
        <v>37501</v>
      </c>
      <c r="V1324" t="s">
        <v>61</v>
      </c>
      <c r="W1324" t="s">
        <v>2487</v>
      </c>
      <c r="X1324" s="1">
        <v>44473</v>
      </c>
      <c r="Y1324" t="s">
        <v>207</v>
      </c>
      <c r="Z1324">
        <v>146.56</v>
      </c>
      <c r="AA1324">
        <v>16</v>
      </c>
      <c r="AB1324">
        <v>23.45</v>
      </c>
      <c r="AC1324">
        <v>0</v>
      </c>
      <c r="AD1324">
        <v>170.01</v>
      </c>
      <c r="AE1324">
        <v>1937.43</v>
      </c>
      <c r="AF1324">
        <v>2727</v>
      </c>
      <c r="AG1324" t="s">
        <v>2488</v>
      </c>
      <c r="AH1324" t="s">
        <v>65</v>
      </c>
      <c r="AI1324" t="s">
        <v>65</v>
      </c>
      <c r="AJ1324" t="s">
        <v>66</v>
      </c>
      <c r="AK1324" t="s">
        <v>66</v>
      </c>
      <c r="AL1324" t="s">
        <v>66</v>
      </c>
      <c r="AM1324" s="2" t="str">
        <f>HYPERLINK("https://transparencia.cidesi.mx/comprobantes/2021/CN2100010 /C4POTE00070940 28-09-2021 CENTRO DE INGENIERIA Y DESARROLLO INDUSTRIAL.pdf")</f>
        <v>https://transparencia.cidesi.mx/comprobantes/2021/CN2100010 /C4POTE00070940 28-09-2021 CENTRO DE INGENIERIA Y DESARROLLO INDUSTRIAL.pdf</v>
      </c>
      <c r="AN1324" t="str">
        <f>HYPERLINK("https://transparencia.cidesi.mx/comprobantes/2021/CN2100010 /C4POTE00070940 28-09-2021 CENTRO DE INGENIERIA Y DESARROLLO INDUSTRIAL.pdf")</f>
        <v>https://transparencia.cidesi.mx/comprobantes/2021/CN2100010 /C4POTE00070940 28-09-2021 CENTRO DE INGENIERIA Y DESARROLLO INDUSTRIAL.pdf</v>
      </c>
      <c r="AO1324" t="str">
        <f>HYPERLINK("https://transparencia.cidesi.mx/comprobantes/2021/CN2100010 /C4POTE00070940 28-09-2021 CENTRO DE INGENIERIA Y DESARROLLO INDUSTRIAL.xml")</f>
        <v>https://transparencia.cidesi.mx/comprobantes/2021/CN2100010 /C4POTE00070940 28-09-2021 CENTRO DE INGENIERIA Y DESARROLLO INDUSTRIAL.xml</v>
      </c>
      <c r="AP1324" t="s">
        <v>2489</v>
      </c>
      <c r="AQ1324" t="s">
        <v>2490</v>
      </c>
      <c r="AR1324" t="s">
        <v>2491</v>
      </c>
      <c r="AS1324" t="s">
        <v>2492</v>
      </c>
      <c r="AT1324" s="1">
        <v>44475</v>
      </c>
      <c r="AU1324" t="s">
        <v>73</v>
      </c>
    </row>
    <row r="1325" spans="1:47" x14ac:dyDescent="0.3">
      <c r="A1325" t="s">
        <v>2481</v>
      </c>
      <c r="B1325" t="s">
        <v>80</v>
      </c>
      <c r="C1325" t="s">
        <v>2482</v>
      </c>
      <c r="D1325">
        <v>100405</v>
      </c>
      <c r="E1325" t="s">
        <v>2483</v>
      </c>
      <c r="F1325" t="s">
        <v>2484</v>
      </c>
      <c r="G1325" t="s">
        <v>912</v>
      </c>
      <c r="H1325" t="s">
        <v>2485</v>
      </c>
      <c r="I1325" t="s">
        <v>54</v>
      </c>
      <c r="J1325" t="s">
        <v>2486</v>
      </c>
      <c r="K1325" t="s">
        <v>56</v>
      </c>
      <c r="L1325">
        <v>0</v>
      </c>
      <c r="M1325" t="s">
        <v>73</v>
      </c>
      <c r="N1325">
        <v>0</v>
      </c>
      <c r="O1325" t="s">
        <v>58</v>
      </c>
      <c r="P1325" t="s">
        <v>1527</v>
      </c>
      <c r="Q1325" t="s">
        <v>1432</v>
      </c>
      <c r="R1325" t="s">
        <v>2486</v>
      </c>
      <c r="S1325" s="1">
        <v>44466</v>
      </c>
      <c r="T1325" s="1">
        <v>44468</v>
      </c>
      <c r="U1325">
        <v>37501</v>
      </c>
      <c r="V1325" t="s">
        <v>104</v>
      </c>
      <c r="W1325" t="s">
        <v>2487</v>
      </c>
      <c r="X1325" s="1">
        <v>44473</v>
      </c>
      <c r="Y1325" t="s">
        <v>207</v>
      </c>
      <c r="Z1325">
        <v>848</v>
      </c>
      <c r="AA1325">
        <v>16</v>
      </c>
      <c r="AB1325">
        <v>132</v>
      </c>
      <c r="AC1325">
        <v>0</v>
      </c>
      <c r="AD1325">
        <v>980</v>
      </c>
      <c r="AE1325">
        <v>1937.43</v>
      </c>
      <c r="AF1325">
        <v>2727</v>
      </c>
      <c r="AG1325" t="s">
        <v>2493</v>
      </c>
      <c r="AH1325" t="s">
        <v>65</v>
      </c>
      <c r="AI1325" t="s">
        <v>65</v>
      </c>
      <c r="AJ1325" t="s">
        <v>66</v>
      </c>
      <c r="AK1325" t="s">
        <v>66</v>
      </c>
      <c r="AL1325" t="s">
        <v>66</v>
      </c>
      <c r="AM1325" s="2" t="str">
        <f>HYPERLINK("https://transparencia.cidesi.mx/comprobantes/2021/CN2100010 /C5QRO-20993.pdf")</f>
        <v>https://transparencia.cidesi.mx/comprobantes/2021/CN2100010 /C5QRO-20993.pdf</v>
      </c>
      <c r="AN1325" t="str">
        <f>HYPERLINK("https://transparencia.cidesi.mx/comprobantes/2021/CN2100010 /C5QRO-20993.pdf")</f>
        <v>https://transparencia.cidesi.mx/comprobantes/2021/CN2100010 /C5QRO-20993.pdf</v>
      </c>
      <c r="AO1325" t="str">
        <f>HYPERLINK("https://transparencia.cidesi.mx/comprobantes/2021/CN2100010 /C5QRO-20993.xml")</f>
        <v>https://transparencia.cidesi.mx/comprobantes/2021/CN2100010 /C5QRO-20993.xml</v>
      </c>
      <c r="AP1325" t="s">
        <v>2489</v>
      </c>
      <c r="AQ1325" t="s">
        <v>2490</v>
      </c>
      <c r="AR1325" t="s">
        <v>2491</v>
      </c>
      <c r="AS1325" t="s">
        <v>2492</v>
      </c>
      <c r="AT1325" s="1">
        <v>44475</v>
      </c>
      <c r="AU1325" t="s">
        <v>73</v>
      </c>
    </row>
    <row r="1326" spans="1:47" x14ac:dyDescent="0.3">
      <c r="A1326" t="s">
        <v>2481</v>
      </c>
      <c r="B1326" t="s">
        <v>80</v>
      </c>
      <c r="C1326" t="s">
        <v>2482</v>
      </c>
      <c r="D1326">
        <v>100405</v>
      </c>
      <c r="E1326" t="s">
        <v>2483</v>
      </c>
      <c r="F1326" t="s">
        <v>2484</v>
      </c>
      <c r="G1326" t="s">
        <v>912</v>
      </c>
      <c r="H1326" t="s">
        <v>2485</v>
      </c>
      <c r="I1326" t="s">
        <v>54</v>
      </c>
      <c r="J1326" t="s">
        <v>2486</v>
      </c>
      <c r="K1326" t="s">
        <v>56</v>
      </c>
      <c r="L1326">
        <v>0</v>
      </c>
      <c r="M1326" t="s">
        <v>73</v>
      </c>
      <c r="N1326">
        <v>0</v>
      </c>
      <c r="O1326" t="s">
        <v>58</v>
      </c>
      <c r="P1326" t="s">
        <v>1527</v>
      </c>
      <c r="Q1326" t="s">
        <v>1432</v>
      </c>
      <c r="R1326" t="s">
        <v>2486</v>
      </c>
      <c r="S1326" s="1">
        <v>44466</v>
      </c>
      <c r="T1326" s="1">
        <v>44468</v>
      </c>
      <c r="U1326">
        <v>37501</v>
      </c>
      <c r="V1326" t="s">
        <v>534</v>
      </c>
      <c r="W1326" t="s">
        <v>2487</v>
      </c>
      <c r="X1326" s="1">
        <v>44473</v>
      </c>
      <c r="Y1326" t="s">
        <v>207</v>
      </c>
      <c r="Z1326">
        <v>181</v>
      </c>
      <c r="AA1326">
        <v>16</v>
      </c>
      <c r="AB1326">
        <v>28.96</v>
      </c>
      <c r="AC1326">
        <v>0</v>
      </c>
      <c r="AD1326">
        <v>209.96</v>
      </c>
      <c r="AE1326">
        <v>1937.43</v>
      </c>
      <c r="AF1326">
        <v>2727</v>
      </c>
      <c r="AG1326" t="s">
        <v>2494</v>
      </c>
      <c r="AH1326" t="s">
        <v>66</v>
      </c>
      <c r="AI1326" t="s">
        <v>65</v>
      </c>
      <c r="AJ1326" t="s">
        <v>66</v>
      </c>
      <c r="AK1326" t="s">
        <v>66</v>
      </c>
      <c r="AL1326" t="s">
        <v>66</v>
      </c>
      <c r="AM1326" s="2" t="str">
        <f>HYPERLINK("https://transparencia.cidesi.mx/comprobantes/2021/CN2100010 /C629d13f66-c2bd-50b4-a725-be2400a2bf26.pdf")</f>
        <v>https://transparencia.cidesi.mx/comprobantes/2021/CN2100010 /C629d13f66-c2bd-50b4-a725-be2400a2bf26.pdf</v>
      </c>
      <c r="AN1326" t="str">
        <f>HYPERLINK("https://transparencia.cidesi.mx/comprobantes/2021/CN2100010 /C629d13f66-c2bd-50b4-a725-be2400a2bf26.pdf")</f>
        <v>https://transparencia.cidesi.mx/comprobantes/2021/CN2100010 /C629d13f66-c2bd-50b4-a725-be2400a2bf26.pdf</v>
      </c>
      <c r="AO1326" t="str">
        <f>HYPERLINK("https://transparencia.cidesi.mx/comprobantes/2021/CN2100010 /C629d13f66-c2bd-50b4-a725-be2400a2bf26.xml")</f>
        <v>https://transparencia.cidesi.mx/comprobantes/2021/CN2100010 /C629d13f66-c2bd-50b4-a725-be2400a2bf26.xml</v>
      </c>
      <c r="AP1326" t="s">
        <v>2489</v>
      </c>
      <c r="AQ1326" t="s">
        <v>2490</v>
      </c>
      <c r="AR1326" t="s">
        <v>2491</v>
      </c>
      <c r="AS1326" t="s">
        <v>2492</v>
      </c>
      <c r="AT1326" s="1">
        <v>44475</v>
      </c>
      <c r="AU1326" t="s">
        <v>73</v>
      </c>
    </row>
    <row r="1327" spans="1:47" x14ac:dyDescent="0.3">
      <c r="A1327" t="s">
        <v>2481</v>
      </c>
      <c r="B1327" t="s">
        <v>80</v>
      </c>
      <c r="C1327" t="s">
        <v>2482</v>
      </c>
      <c r="D1327">
        <v>100405</v>
      </c>
      <c r="E1327" t="s">
        <v>2483</v>
      </c>
      <c r="F1327" t="s">
        <v>2484</v>
      </c>
      <c r="G1327" t="s">
        <v>912</v>
      </c>
      <c r="H1327" t="s">
        <v>2485</v>
      </c>
      <c r="I1327" t="s">
        <v>54</v>
      </c>
      <c r="J1327" t="s">
        <v>2486</v>
      </c>
      <c r="K1327" t="s">
        <v>56</v>
      </c>
      <c r="L1327">
        <v>0</v>
      </c>
      <c r="M1327" t="s">
        <v>73</v>
      </c>
      <c r="N1327">
        <v>0</v>
      </c>
      <c r="O1327" t="s">
        <v>58</v>
      </c>
      <c r="P1327" t="s">
        <v>1527</v>
      </c>
      <c r="Q1327" t="s">
        <v>1432</v>
      </c>
      <c r="R1327" t="s">
        <v>2486</v>
      </c>
      <c r="S1327" s="1">
        <v>44466</v>
      </c>
      <c r="T1327" s="1">
        <v>44468</v>
      </c>
      <c r="U1327">
        <v>37501</v>
      </c>
      <c r="V1327" t="s">
        <v>534</v>
      </c>
      <c r="W1327" t="s">
        <v>2487</v>
      </c>
      <c r="X1327" s="1">
        <v>44473</v>
      </c>
      <c r="Y1327" t="s">
        <v>207</v>
      </c>
      <c r="Z1327">
        <v>155.12</v>
      </c>
      <c r="AA1327">
        <v>16</v>
      </c>
      <c r="AB1327">
        <v>24.82</v>
      </c>
      <c r="AC1327">
        <v>0</v>
      </c>
      <c r="AD1327">
        <v>179.94</v>
      </c>
      <c r="AE1327">
        <v>1937.43</v>
      </c>
      <c r="AF1327">
        <v>2727</v>
      </c>
      <c r="AG1327" t="s">
        <v>2494</v>
      </c>
      <c r="AH1327" t="s">
        <v>66</v>
      </c>
      <c r="AI1327" t="s">
        <v>65</v>
      </c>
      <c r="AJ1327" t="s">
        <v>66</v>
      </c>
      <c r="AK1327" t="s">
        <v>66</v>
      </c>
      <c r="AL1327" t="s">
        <v>66</v>
      </c>
      <c r="AM1327" s="2" t="str">
        <f>HYPERLINK("https://transparencia.cidesi.mx/comprobantes/2021/CN2100010 /C7fe7ceb9e-022a-5178-a779-a69c5b0906f9[1].pdf")</f>
        <v>https://transparencia.cidesi.mx/comprobantes/2021/CN2100010 /C7fe7ceb9e-022a-5178-a779-a69c5b0906f9[1].pdf</v>
      </c>
      <c r="AN1327" t="str">
        <f>HYPERLINK("https://transparencia.cidesi.mx/comprobantes/2021/CN2100010 /C7fe7ceb9e-022a-5178-a779-a69c5b0906f9[1].pdf")</f>
        <v>https://transparencia.cidesi.mx/comprobantes/2021/CN2100010 /C7fe7ceb9e-022a-5178-a779-a69c5b0906f9[1].pdf</v>
      </c>
      <c r="AO1327" t="str">
        <f>HYPERLINK("https://transparencia.cidesi.mx/comprobantes/2021/CN2100010 /C7fe7ceb9e-022a-5178-a779-a69c5b0906f9 (2).xml")</f>
        <v>https://transparencia.cidesi.mx/comprobantes/2021/CN2100010 /C7fe7ceb9e-022a-5178-a779-a69c5b0906f9 (2).xml</v>
      </c>
      <c r="AP1327" t="s">
        <v>2489</v>
      </c>
      <c r="AQ1327" t="s">
        <v>2490</v>
      </c>
      <c r="AR1327" t="s">
        <v>2491</v>
      </c>
      <c r="AS1327" t="s">
        <v>2492</v>
      </c>
      <c r="AT1327" s="1">
        <v>44475</v>
      </c>
      <c r="AU1327" t="s">
        <v>73</v>
      </c>
    </row>
    <row r="1328" spans="1:47" x14ac:dyDescent="0.3">
      <c r="A1328" t="s">
        <v>47</v>
      </c>
      <c r="B1328" t="s">
        <v>48</v>
      </c>
      <c r="C1328" t="s">
        <v>849</v>
      </c>
      <c r="D1328">
        <v>100486</v>
      </c>
      <c r="E1328" t="s">
        <v>247</v>
      </c>
      <c r="F1328" t="s">
        <v>2495</v>
      </c>
      <c r="G1328" t="s">
        <v>2496</v>
      </c>
      <c r="H1328" t="s">
        <v>2497</v>
      </c>
      <c r="I1328" t="s">
        <v>54</v>
      </c>
      <c r="J1328" t="s">
        <v>1614</v>
      </c>
      <c r="K1328" t="s">
        <v>56</v>
      </c>
      <c r="L1328">
        <v>0</v>
      </c>
      <c r="M1328" t="s">
        <v>73</v>
      </c>
      <c r="N1328">
        <v>0</v>
      </c>
      <c r="O1328" t="s">
        <v>58</v>
      </c>
      <c r="P1328" t="s">
        <v>59</v>
      </c>
      <c r="Q1328" t="s">
        <v>60</v>
      </c>
      <c r="R1328" t="s">
        <v>1614</v>
      </c>
      <c r="S1328" s="1">
        <v>44403</v>
      </c>
      <c r="T1328" s="1">
        <v>44406</v>
      </c>
      <c r="U1328">
        <v>37501</v>
      </c>
      <c r="V1328" t="s">
        <v>61</v>
      </c>
      <c r="W1328" t="s">
        <v>2498</v>
      </c>
      <c r="X1328" s="1">
        <v>44413</v>
      </c>
      <c r="Y1328" t="s">
        <v>63</v>
      </c>
      <c r="Z1328">
        <v>268.10000000000002</v>
      </c>
      <c r="AA1328">
        <v>16</v>
      </c>
      <c r="AB1328">
        <v>42.9</v>
      </c>
      <c r="AC1328">
        <v>0</v>
      </c>
      <c r="AD1328">
        <v>311</v>
      </c>
      <c r="AE1328">
        <v>3763.74</v>
      </c>
      <c r="AF1328">
        <v>3818</v>
      </c>
      <c r="AG1328" t="s">
        <v>2499</v>
      </c>
      <c r="AH1328" t="s">
        <v>65</v>
      </c>
      <c r="AI1328" t="s">
        <v>65</v>
      </c>
      <c r="AJ1328" t="s">
        <v>66</v>
      </c>
      <c r="AK1328" t="s">
        <v>66</v>
      </c>
      <c r="AL1328" t="s">
        <v>66</v>
      </c>
      <c r="AM1328" s="2" t="str">
        <f>HYPERLINK("https://transparencia.cidesi.mx/comprobantes/2021/CQ2100613 /C137b96205-ba7d-446f-8ae2-663909b17e21 311.00.pdf")</f>
        <v>https://transparencia.cidesi.mx/comprobantes/2021/CQ2100613 /C137b96205-ba7d-446f-8ae2-663909b17e21 311.00.pdf</v>
      </c>
      <c r="AN1328" t="str">
        <f>HYPERLINK("https://transparencia.cidesi.mx/comprobantes/2021/CQ2100613 /C137b96205-ba7d-446f-8ae2-663909b17e21 311.00.pdf")</f>
        <v>https://transparencia.cidesi.mx/comprobantes/2021/CQ2100613 /C137b96205-ba7d-446f-8ae2-663909b17e21 311.00.pdf</v>
      </c>
      <c r="AO1328" t="str">
        <f>HYPERLINK("https://transparencia.cidesi.mx/comprobantes/2021/CQ2100613 /C137b96205-ba7d-446f-8ae2-663909b17e21.xml")</f>
        <v>https://transparencia.cidesi.mx/comprobantes/2021/CQ2100613 /C137b96205-ba7d-446f-8ae2-663909b17e21.xml</v>
      </c>
      <c r="AP1328" t="s">
        <v>2500</v>
      </c>
      <c r="AQ1328" t="s">
        <v>2501</v>
      </c>
      <c r="AR1328" t="s">
        <v>2502</v>
      </c>
      <c r="AS1328" t="s">
        <v>2503</v>
      </c>
      <c r="AT1328" s="1">
        <v>44414</v>
      </c>
      <c r="AU1328" s="1">
        <v>44425</v>
      </c>
    </row>
    <row r="1329" spans="1:47" x14ac:dyDescent="0.3">
      <c r="A1329" t="s">
        <v>47</v>
      </c>
      <c r="B1329" t="s">
        <v>48</v>
      </c>
      <c r="C1329" t="s">
        <v>849</v>
      </c>
      <c r="D1329">
        <v>100486</v>
      </c>
      <c r="E1329" t="s">
        <v>247</v>
      </c>
      <c r="F1329" t="s">
        <v>2495</v>
      </c>
      <c r="G1329" t="s">
        <v>2496</v>
      </c>
      <c r="H1329" t="s">
        <v>2497</v>
      </c>
      <c r="I1329" t="s">
        <v>54</v>
      </c>
      <c r="J1329" t="s">
        <v>1614</v>
      </c>
      <c r="K1329" t="s">
        <v>56</v>
      </c>
      <c r="L1329">
        <v>0</v>
      </c>
      <c r="M1329" t="s">
        <v>73</v>
      </c>
      <c r="N1329">
        <v>0</v>
      </c>
      <c r="O1329" t="s">
        <v>58</v>
      </c>
      <c r="P1329" t="s">
        <v>59</v>
      </c>
      <c r="Q1329" t="s">
        <v>60</v>
      </c>
      <c r="R1329" t="s">
        <v>1614</v>
      </c>
      <c r="S1329" s="1">
        <v>44403</v>
      </c>
      <c r="T1329" s="1">
        <v>44406</v>
      </c>
      <c r="U1329">
        <v>37501</v>
      </c>
      <c r="V1329" t="s">
        <v>61</v>
      </c>
      <c r="W1329" t="s">
        <v>2498</v>
      </c>
      <c r="X1329" s="1">
        <v>44413</v>
      </c>
      <c r="Y1329" t="s">
        <v>63</v>
      </c>
      <c r="Z1329">
        <v>561.21</v>
      </c>
      <c r="AA1329">
        <v>16</v>
      </c>
      <c r="AB1329">
        <v>89.79</v>
      </c>
      <c r="AC1329">
        <v>0</v>
      </c>
      <c r="AD1329">
        <v>651</v>
      </c>
      <c r="AE1329">
        <v>3763.74</v>
      </c>
      <c r="AF1329">
        <v>3818</v>
      </c>
      <c r="AG1329" t="s">
        <v>2499</v>
      </c>
      <c r="AH1329" t="s">
        <v>65</v>
      </c>
      <c r="AI1329" t="s">
        <v>65</v>
      </c>
      <c r="AJ1329" t="s">
        <v>66</v>
      </c>
      <c r="AK1329" t="s">
        <v>66</v>
      </c>
      <c r="AL1329" t="s">
        <v>66</v>
      </c>
      <c r="AM1329" s="2" t="str">
        <f>HYPERLINK("https://transparencia.cidesi.mx/comprobantes/2021/CQ2100613 /C2A1762  651.00.pdf")</f>
        <v>https://transparencia.cidesi.mx/comprobantes/2021/CQ2100613 /C2A1762  651.00.pdf</v>
      </c>
      <c r="AN1329" t="str">
        <f>HYPERLINK("https://transparencia.cidesi.mx/comprobantes/2021/CQ2100613 /C2A1762  651.00.pdf")</f>
        <v>https://transparencia.cidesi.mx/comprobantes/2021/CQ2100613 /C2A1762  651.00.pdf</v>
      </c>
      <c r="AO1329" t="str">
        <f>HYPERLINK("https://transparencia.cidesi.mx/comprobantes/2021/CQ2100613 /C2A1762 651.00.xml")</f>
        <v>https://transparencia.cidesi.mx/comprobantes/2021/CQ2100613 /C2A1762 651.00.xml</v>
      </c>
      <c r="AP1329" t="s">
        <v>2500</v>
      </c>
      <c r="AQ1329" t="s">
        <v>2501</v>
      </c>
      <c r="AR1329" t="s">
        <v>2502</v>
      </c>
      <c r="AS1329" t="s">
        <v>2503</v>
      </c>
      <c r="AT1329" s="1">
        <v>44414</v>
      </c>
      <c r="AU1329" s="1">
        <v>44425</v>
      </c>
    </row>
    <row r="1330" spans="1:47" x14ac:dyDescent="0.3">
      <c r="A1330" t="s">
        <v>47</v>
      </c>
      <c r="B1330" t="s">
        <v>48</v>
      </c>
      <c r="C1330" t="s">
        <v>849</v>
      </c>
      <c r="D1330">
        <v>100486</v>
      </c>
      <c r="E1330" t="s">
        <v>247</v>
      </c>
      <c r="F1330" t="s">
        <v>2495</v>
      </c>
      <c r="G1330" t="s">
        <v>2496</v>
      </c>
      <c r="H1330" t="s">
        <v>2497</v>
      </c>
      <c r="I1330" t="s">
        <v>54</v>
      </c>
      <c r="J1330" t="s">
        <v>1614</v>
      </c>
      <c r="K1330" t="s">
        <v>56</v>
      </c>
      <c r="L1330">
        <v>0</v>
      </c>
      <c r="M1330" t="s">
        <v>73</v>
      </c>
      <c r="N1330">
        <v>0</v>
      </c>
      <c r="O1330" t="s">
        <v>58</v>
      </c>
      <c r="P1330" t="s">
        <v>59</v>
      </c>
      <c r="Q1330" t="s">
        <v>60</v>
      </c>
      <c r="R1330" t="s">
        <v>1614</v>
      </c>
      <c r="S1330" s="1">
        <v>44403</v>
      </c>
      <c r="T1330" s="1">
        <v>44406</v>
      </c>
      <c r="U1330">
        <v>37501</v>
      </c>
      <c r="V1330" t="s">
        <v>104</v>
      </c>
      <c r="W1330" t="s">
        <v>2498</v>
      </c>
      <c r="X1330" s="1">
        <v>44413</v>
      </c>
      <c r="Y1330" t="s">
        <v>63</v>
      </c>
      <c r="Z1330">
        <v>1424</v>
      </c>
      <c r="AA1330">
        <v>16</v>
      </c>
      <c r="AB1330">
        <v>220.14</v>
      </c>
      <c r="AC1330">
        <v>0</v>
      </c>
      <c r="AD1330">
        <v>1644.14</v>
      </c>
      <c r="AE1330">
        <v>3763.74</v>
      </c>
      <c r="AF1330">
        <v>3818</v>
      </c>
      <c r="AG1330" t="s">
        <v>2504</v>
      </c>
      <c r="AH1330" t="s">
        <v>65</v>
      </c>
      <c r="AI1330" t="s">
        <v>65</v>
      </c>
      <c r="AJ1330" t="s">
        <v>66</v>
      </c>
      <c r="AK1330" t="s">
        <v>66</v>
      </c>
      <c r="AL1330" t="s">
        <v>66</v>
      </c>
      <c r="AM1330" s="2" t="str">
        <f>HYPERLINK("https://transparencia.cidesi.mx/comprobantes/2021/CQ2100613 /C3CFD_FE_F1XSUR155791 1644.14.pdf")</f>
        <v>https://transparencia.cidesi.mx/comprobantes/2021/CQ2100613 /C3CFD_FE_F1XSUR155791 1644.14.pdf</v>
      </c>
      <c r="AN1330" t="str">
        <f>HYPERLINK("https://transparencia.cidesi.mx/comprobantes/2021/CQ2100613 /C3CFD_FE_F1XSUR155791 1644.14.pdf")</f>
        <v>https://transparencia.cidesi.mx/comprobantes/2021/CQ2100613 /C3CFD_FE_F1XSUR155791 1644.14.pdf</v>
      </c>
      <c r="AO1330" t="str">
        <f>HYPERLINK("https://transparencia.cidesi.mx/comprobantes/2021/CQ2100613 /C3CFD_FE_F1XSUR155791 1644.14.xml")</f>
        <v>https://transparencia.cidesi.mx/comprobantes/2021/CQ2100613 /C3CFD_FE_F1XSUR155791 1644.14.xml</v>
      </c>
      <c r="AP1330" t="s">
        <v>2500</v>
      </c>
      <c r="AQ1330" t="s">
        <v>2501</v>
      </c>
      <c r="AR1330" t="s">
        <v>2502</v>
      </c>
      <c r="AS1330" t="s">
        <v>2503</v>
      </c>
      <c r="AT1330" s="1">
        <v>44414</v>
      </c>
      <c r="AU1330" s="1">
        <v>44425</v>
      </c>
    </row>
    <row r="1331" spans="1:47" x14ac:dyDescent="0.3">
      <c r="A1331" t="s">
        <v>47</v>
      </c>
      <c r="B1331" t="s">
        <v>48</v>
      </c>
      <c r="C1331" t="s">
        <v>849</v>
      </c>
      <c r="D1331">
        <v>100486</v>
      </c>
      <c r="E1331" t="s">
        <v>247</v>
      </c>
      <c r="F1331" t="s">
        <v>2495</v>
      </c>
      <c r="G1331" t="s">
        <v>2496</v>
      </c>
      <c r="H1331" t="s">
        <v>2497</v>
      </c>
      <c r="I1331" t="s">
        <v>54</v>
      </c>
      <c r="J1331" t="s">
        <v>1614</v>
      </c>
      <c r="K1331" t="s">
        <v>56</v>
      </c>
      <c r="L1331">
        <v>0</v>
      </c>
      <c r="M1331" t="s">
        <v>73</v>
      </c>
      <c r="N1331">
        <v>0</v>
      </c>
      <c r="O1331" t="s">
        <v>58</v>
      </c>
      <c r="P1331" t="s">
        <v>59</v>
      </c>
      <c r="Q1331" t="s">
        <v>60</v>
      </c>
      <c r="R1331" t="s">
        <v>1614</v>
      </c>
      <c r="S1331" s="1">
        <v>44403</v>
      </c>
      <c r="T1331" s="1">
        <v>44406</v>
      </c>
      <c r="U1331">
        <v>37501</v>
      </c>
      <c r="V1331" t="s">
        <v>1009</v>
      </c>
      <c r="W1331" t="s">
        <v>2498</v>
      </c>
      <c r="X1331" s="1">
        <v>44413</v>
      </c>
      <c r="Y1331" t="s">
        <v>63</v>
      </c>
      <c r="Z1331">
        <v>203.1</v>
      </c>
      <c r="AA1331">
        <v>16</v>
      </c>
      <c r="AB1331">
        <v>32.5</v>
      </c>
      <c r="AC1331">
        <v>0</v>
      </c>
      <c r="AD1331">
        <v>235.6</v>
      </c>
      <c r="AE1331">
        <v>3763.74</v>
      </c>
      <c r="AF1331">
        <v>3818</v>
      </c>
      <c r="AG1331" t="s">
        <v>2505</v>
      </c>
      <c r="AH1331" t="s">
        <v>66</v>
      </c>
      <c r="AI1331" t="s">
        <v>65</v>
      </c>
      <c r="AJ1331" t="s">
        <v>66</v>
      </c>
      <c r="AK1331" t="s">
        <v>66</v>
      </c>
      <c r="AL1331" t="s">
        <v>66</v>
      </c>
      <c r="AM1331" s="2" t="str">
        <f>HYPERLINK("https://transparencia.cidesi.mx/comprobantes/2021/CQ2100613 /C4CFD_FE_S1XSUR155790 249.00.pdf")</f>
        <v>https://transparencia.cidesi.mx/comprobantes/2021/CQ2100613 /C4CFD_FE_S1XSUR155790 249.00.pdf</v>
      </c>
      <c r="AN1331" t="str">
        <f>HYPERLINK("https://transparencia.cidesi.mx/comprobantes/2021/CQ2100613 /C4CFD_FE_S1XSUR155790 249.00.pdf")</f>
        <v>https://transparencia.cidesi.mx/comprobantes/2021/CQ2100613 /C4CFD_FE_S1XSUR155790 249.00.pdf</v>
      </c>
      <c r="AO1331" t="str">
        <f>HYPERLINK("https://transparencia.cidesi.mx/comprobantes/2021/CQ2100613 /C4CFD_FE_S1XSUR155790 249.00.xml")</f>
        <v>https://transparencia.cidesi.mx/comprobantes/2021/CQ2100613 /C4CFD_FE_S1XSUR155790 249.00.xml</v>
      </c>
      <c r="AP1331" t="s">
        <v>2500</v>
      </c>
      <c r="AQ1331" t="s">
        <v>2501</v>
      </c>
      <c r="AR1331" t="s">
        <v>2502</v>
      </c>
      <c r="AS1331" t="s">
        <v>2503</v>
      </c>
      <c r="AT1331" s="1">
        <v>44414</v>
      </c>
      <c r="AU1331" s="1">
        <v>44425</v>
      </c>
    </row>
    <row r="1332" spans="1:47" x14ac:dyDescent="0.3">
      <c r="A1332" t="s">
        <v>47</v>
      </c>
      <c r="B1332" t="s">
        <v>48</v>
      </c>
      <c r="C1332" t="s">
        <v>849</v>
      </c>
      <c r="D1332">
        <v>100486</v>
      </c>
      <c r="E1332" t="s">
        <v>247</v>
      </c>
      <c r="F1332" t="s">
        <v>2495</v>
      </c>
      <c r="G1332" t="s">
        <v>2496</v>
      </c>
      <c r="H1332" t="s">
        <v>2497</v>
      </c>
      <c r="I1332" t="s">
        <v>54</v>
      </c>
      <c r="J1332" t="s">
        <v>1614</v>
      </c>
      <c r="K1332" t="s">
        <v>56</v>
      </c>
      <c r="L1332">
        <v>0</v>
      </c>
      <c r="M1332" t="s">
        <v>73</v>
      </c>
      <c r="N1332">
        <v>0</v>
      </c>
      <c r="O1332" t="s">
        <v>58</v>
      </c>
      <c r="P1332" t="s">
        <v>59</v>
      </c>
      <c r="Q1332" t="s">
        <v>60</v>
      </c>
      <c r="R1332" t="s">
        <v>1614</v>
      </c>
      <c r="S1332" s="1">
        <v>44403</v>
      </c>
      <c r="T1332" s="1">
        <v>44406</v>
      </c>
      <c r="U1332">
        <v>37501</v>
      </c>
      <c r="V1332" t="s">
        <v>61</v>
      </c>
      <c r="W1332" t="s">
        <v>2498</v>
      </c>
      <c r="X1332" s="1">
        <v>44413</v>
      </c>
      <c r="Y1332" t="s">
        <v>63</v>
      </c>
      <c r="Z1332">
        <v>88.59</v>
      </c>
      <c r="AA1332">
        <v>16</v>
      </c>
      <c r="AB1332">
        <v>4.41</v>
      </c>
      <c r="AC1332">
        <v>0</v>
      </c>
      <c r="AD1332">
        <v>93</v>
      </c>
      <c r="AE1332">
        <v>3763.74</v>
      </c>
      <c r="AF1332">
        <v>3818</v>
      </c>
      <c r="AG1332" t="s">
        <v>2499</v>
      </c>
      <c r="AH1332" t="s">
        <v>65</v>
      </c>
      <c r="AI1332" t="s">
        <v>65</v>
      </c>
      <c r="AJ1332" t="s">
        <v>66</v>
      </c>
      <c r="AK1332" t="s">
        <v>66</v>
      </c>
      <c r="AL1332" t="s">
        <v>66</v>
      </c>
      <c r="AM1332" s="2" t="str">
        <f>HYPERLINK("https://transparencia.cidesi.mx/comprobantes/2021/CQ2100613 /C5FACTURA_1628170809602_340009955 93.00.pdf")</f>
        <v>https://transparencia.cidesi.mx/comprobantes/2021/CQ2100613 /C5FACTURA_1628170809602_340009955 93.00.pdf</v>
      </c>
      <c r="AN1332" t="str">
        <f>HYPERLINK("https://transparencia.cidesi.mx/comprobantes/2021/CQ2100613 /C5FACTURA_1628170809602_340009955 93.00.pdf")</f>
        <v>https://transparencia.cidesi.mx/comprobantes/2021/CQ2100613 /C5FACTURA_1628170809602_340009955 93.00.pdf</v>
      </c>
      <c r="AO1332" t="str">
        <f>HYPERLINK("https://transparencia.cidesi.mx/comprobantes/2021/CQ2100613 /C5FACTURA_1628170811872_340009955 93.00.xml")</f>
        <v>https://transparencia.cidesi.mx/comprobantes/2021/CQ2100613 /C5FACTURA_1628170811872_340009955 93.00.xml</v>
      </c>
      <c r="AP1332" t="s">
        <v>2500</v>
      </c>
      <c r="AQ1332" t="s">
        <v>2501</v>
      </c>
      <c r="AR1332" t="s">
        <v>2502</v>
      </c>
      <c r="AS1332" t="s">
        <v>2503</v>
      </c>
      <c r="AT1332" s="1">
        <v>44414</v>
      </c>
      <c r="AU1332" s="1">
        <v>44425</v>
      </c>
    </row>
    <row r="1333" spans="1:47" x14ac:dyDescent="0.3">
      <c r="A1333" t="s">
        <v>47</v>
      </c>
      <c r="B1333" t="s">
        <v>48</v>
      </c>
      <c r="C1333" t="s">
        <v>849</v>
      </c>
      <c r="D1333">
        <v>100486</v>
      </c>
      <c r="E1333" t="s">
        <v>247</v>
      </c>
      <c r="F1333" t="s">
        <v>2495</v>
      </c>
      <c r="G1333" t="s">
        <v>2496</v>
      </c>
      <c r="H1333" t="s">
        <v>2497</v>
      </c>
      <c r="I1333" t="s">
        <v>54</v>
      </c>
      <c r="J1333" t="s">
        <v>1614</v>
      </c>
      <c r="K1333" t="s">
        <v>56</v>
      </c>
      <c r="L1333">
        <v>0</v>
      </c>
      <c r="M1333" t="s">
        <v>73</v>
      </c>
      <c r="N1333">
        <v>0</v>
      </c>
      <c r="O1333" t="s">
        <v>58</v>
      </c>
      <c r="P1333" t="s">
        <v>59</v>
      </c>
      <c r="Q1333" t="s">
        <v>60</v>
      </c>
      <c r="R1333" t="s">
        <v>1614</v>
      </c>
      <c r="S1333" s="1">
        <v>44403</v>
      </c>
      <c r="T1333" s="1">
        <v>44406</v>
      </c>
      <c r="U1333">
        <v>37501</v>
      </c>
      <c r="V1333" t="s">
        <v>61</v>
      </c>
      <c r="W1333" t="s">
        <v>2498</v>
      </c>
      <c r="X1333" s="1">
        <v>44413</v>
      </c>
      <c r="Y1333" t="s">
        <v>63</v>
      </c>
      <c r="Z1333">
        <v>338.36</v>
      </c>
      <c r="AA1333">
        <v>16</v>
      </c>
      <c r="AB1333">
        <v>54.14</v>
      </c>
      <c r="AC1333">
        <v>0</v>
      </c>
      <c r="AD1333">
        <v>392.5</v>
      </c>
      <c r="AE1333">
        <v>3763.74</v>
      </c>
      <c r="AF1333">
        <v>3818</v>
      </c>
      <c r="AG1333" t="s">
        <v>2499</v>
      </c>
      <c r="AH1333" t="s">
        <v>65</v>
      </c>
      <c r="AI1333" t="s">
        <v>65</v>
      </c>
      <c r="AJ1333" t="s">
        <v>66</v>
      </c>
      <c r="AK1333" t="s">
        <v>66</v>
      </c>
      <c r="AL1333" t="s">
        <v>66</v>
      </c>
      <c r="AM1333" s="2" t="str">
        <f>HYPERLINK("https://transparencia.cidesi.mx/comprobantes/2021/CQ2100613 /C6RORR791119M94_Factura__37269_FEB2F6C5-0C05-4448-83AA-EE8C1CD529A4 392.5.pdf")</f>
        <v>https://transparencia.cidesi.mx/comprobantes/2021/CQ2100613 /C6RORR791119M94_Factura__37269_FEB2F6C5-0C05-4448-83AA-EE8C1CD529A4 392.5.pdf</v>
      </c>
      <c r="AN1333" t="str">
        <f>HYPERLINK("https://transparencia.cidesi.mx/comprobantes/2021/CQ2100613 /C6RORR791119M94_Factura__37269_FEB2F6C5-0C05-4448-83AA-EE8C1CD529A4 392.5.pdf")</f>
        <v>https://transparencia.cidesi.mx/comprobantes/2021/CQ2100613 /C6RORR791119M94_Factura__37269_FEB2F6C5-0C05-4448-83AA-EE8C1CD529A4 392.5.pdf</v>
      </c>
      <c r="AO1333" t="str">
        <f>HYPERLINK("https://transparencia.cidesi.mx/comprobantes/2021/CQ2100613 /C6RORR791119M94_Factura__37269_FEB2F6C5-0C05-4448-83AA-EE8C1CD529A4 392.5.xml")</f>
        <v>https://transparencia.cidesi.mx/comprobantes/2021/CQ2100613 /C6RORR791119M94_Factura__37269_FEB2F6C5-0C05-4448-83AA-EE8C1CD529A4 392.5.xml</v>
      </c>
      <c r="AP1333" t="s">
        <v>2500</v>
      </c>
      <c r="AQ1333" t="s">
        <v>2501</v>
      </c>
      <c r="AR1333" t="s">
        <v>2502</v>
      </c>
      <c r="AS1333" t="s">
        <v>2503</v>
      </c>
      <c r="AT1333" s="1">
        <v>44414</v>
      </c>
      <c r="AU1333" s="1">
        <v>44425</v>
      </c>
    </row>
    <row r="1334" spans="1:47" x14ac:dyDescent="0.3">
      <c r="A1334" t="s">
        <v>47</v>
      </c>
      <c r="B1334" t="s">
        <v>48</v>
      </c>
      <c r="C1334" t="s">
        <v>849</v>
      </c>
      <c r="D1334">
        <v>100486</v>
      </c>
      <c r="E1334" t="s">
        <v>247</v>
      </c>
      <c r="F1334" t="s">
        <v>2495</v>
      </c>
      <c r="G1334" t="s">
        <v>2496</v>
      </c>
      <c r="H1334" t="s">
        <v>2497</v>
      </c>
      <c r="I1334" t="s">
        <v>54</v>
      </c>
      <c r="J1334" t="s">
        <v>1614</v>
      </c>
      <c r="K1334" t="s">
        <v>56</v>
      </c>
      <c r="L1334">
        <v>0</v>
      </c>
      <c r="M1334" t="s">
        <v>73</v>
      </c>
      <c r="N1334">
        <v>0</v>
      </c>
      <c r="O1334" t="s">
        <v>58</v>
      </c>
      <c r="P1334" t="s">
        <v>59</v>
      </c>
      <c r="Q1334" t="s">
        <v>60</v>
      </c>
      <c r="R1334" t="s">
        <v>1614</v>
      </c>
      <c r="S1334" s="1">
        <v>44403</v>
      </c>
      <c r="T1334" s="1">
        <v>44406</v>
      </c>
      <c r="U1334">
        <v>37501</v>
      </c>
      <c r="V1334" t="s">
        <v>61</v>
      </c>
      <c r="W1334" t="s">
        <v>2498</v>
      </c>
      <c r="X1334" s="1">
        <v>44413</v>
      </c>
      <c r="Y1334" t="s">
        <v>63</v>
      </c>
      <c r="Z1334">
        <v>316.38</v>
      </c>
      <c r="AA1334">
        <v>16</v>
      </c>
      <c r="AB1334">
        <v>50.62</v>
      </c>
      <c r="AC1334">
        <v>0</v>
      </c>
      <c r="AD1334">
        <v>367</v>
      </c>
      <c r="AE1334">
        <v>3763.74</v>
      </c>
      <c r="AF1334">
        <v>3818</v>
      </c>
      <c r="AG1334" t="s">
        <v>2499</v>
      </c>
      <c r="AH1334" t="s">
        <v>65</v>
      </c>
      <c r="AI1334" t="s">
        <v>65</v>
      </c>
      <c r="AJ1334" t="s">
        <v>66</v>
      </c>
      <c r="AK1334" t="s">
        <v>66</v>
      </c>
      <c r="AL1334" t="s">
        <v>66</v>
      </c>
      <c r="AM1334" s="2" t="str">
        <f>HYPERLINK("https://transparencia.cidesi.mx/comprobantes/2021/CQ2100613 /C769476369 367.00.pdf")</f>
        <v>https://transparencia.cidesi.mx/comprobantes/2021/CQ2100613 /C769476369 367.00.pdf</v>
      </c>
      <c r="AN1334" t="str">
        <f>HYPERLINK("https://transparencia.cidesi.mx/comprobantes/2021/CQ2100613 /C769476369 367.00.pdf")</f>
        <v>https://transparencia.cidesi.mx/comprobantes/2021/CQ2100613 /C769476369 367.00.pdf</v>
      </c>
      <c r="AO1334" t="str">
        <f>HYPERLINK("https://transparencia.cidesi.mx/comprobantes/2021/CQ2100613 /C769476369 367.00.xml")</f>
        <v>https://transparencia.cidesi.mx/comprobantes/2021/CQ2100613 /C769476369 367.00.xml</v>
      </c>
      <c r="AP1334" t="s">
        <v>2500</v>
      </c>
      <c r="AQ1334" t="s">
        <v>2501</v>
      </c>
      <c r="AR1334" t="s">
        <v>2502</v>
      </c>
      <c r="AS1334" t="s">
        <v>2503</v>
      </c>
      <c r="AT1334" s="1">
        <v>44414</v>
      </c>
      <c r="AU1334" s="1">
        <v>44425</v>
      </c>
    </row>
    <row r="1335" spans="1:47" x14ac:dyDescent="0.3">
      <c r="A1335" t="s">
        <v>47</v>
      </c>
      <c r="B1335" t="s">
        <v>48</v>
      </c>
      <c r="C1335" t="s">
        <v>849</v>
      </c>
      <c r="D1335">
        <v>100486</v>
      </c>
      <c r="E1335" t="s">
        <v>247</v>
      </c>
      <c r="F1335" t="s">
        <v>2495</v>
      </c>
      <c r="G1335" t="s">
        <v>2496</v>
      </c>
      <c r="H1335" t="s">
        <v>2497</v>
      </c>
      <c r="I1335" t="s">
        <v>54</v>
      </c>
      <c r="J1335" t="s">
        <v>1614</v>
      </c>
      <c r="K1335" t="s">
        <v>56</v>
      </c>
      <c r="L1335">
        <v>0</v>
      </c>
      <c r="M1335" t="s">
        <v>73</v>
      </c>
      <c r="N1335">
        <v>0</v>
      </c>
      <c r="O1335" t="s">
        <v>58</v>
      </c>
      <c r="P1335" t="s">
        <v>59</v>
      </c>
      <c r="Q1335" t="s">
        <v>60</v>
      </c>
      <c r="R1335" t="s">
        <v>1614</v>
      </c>
      <c r="S1335" s="1">
        <v>44403</v>
      </c>
      <c r="T1335" s="1">
        <v>44406</v>
      </c>
      <c r="U1335">
        <v>37501</v>
      </c>
      <c r="V1335" t="s">
        <v>61</v>
      </c>
      <c r="W1335" t="s">
        <v>2498</v>
      </c>
      <c r="X1335" s="1">
        <v>44413</v>
      </c>
      <c r="Y1335" t="s">
        <v>63</v>
      </c>
      <c r="Z1335">
        <v>66.61</v>
      </c>
      <c r="AA1335">
        <v>16</v>
      </c>
      <c r="AB1335">
        <v>2.89</v>
      </c>
      <c r="AC1335">
        <v>0</v>
      </c>
      <c r="AD1335">
        <v>69.5</v>
      </c>
      <c r="AE1335">
        <v>3763.74</v>
      </c>
      <c r="AF1335">
        <v>3818</v>
      </c>
      <c r="AG1335" t="s">
        <v>2499</v>
      </c>
      <c r="AH1335" t="s">
        <v>65</v>
      </c>
      <c r="AI1335" t="s">
        <v>65</v>
      </c>
      <c r="AJ1335" t="s">
        <v>66</v>
      </c>
      <c r="AK1335" t="s">
        <v>66</v>
      </c>
      <c r="AL1335" t="s">
        <v>66</v>
      </c>
      <c r="AM1335" s="2" t="str">
        <f>HYPERLINK("https://transparencia.cidesi.mx/comprobantes/2021/CQ2100613 /C8FACTURA_1628170963272_340010117 69.5.xml")</f>
        <v>https://transparencia.cidesi.mx/comprobantes/2021/CQ2100613 /C8FACTURA_1628170963272_340010117 69.5.xml</v>
      </c>
      <c r="AN1335" t="str">
        <f>HYPERLINK("https://transparencia.cidesi.mx/comprobantes/2021/CQ2100613 /C8FACTURA_1628170963272_340010117 69.5.xml")</f>
        <v>https://transparencia.cidesi.mx/comprobantes/2021/CQ2100613 /C8FACTURA_1628170963272_340010117 69.5.xml</v>
      </c>
      <c r="AO1335" t="str">
        <f>HYPERLINK("https://transparencia.cidesi.mx/comprobantes/2021/CQ2100613 /C8FACTURA_1628170963272_340010117 69.5.xml")</f>
        <v>https://transparencia.cidesi.mx/comprobantes/2021/CQ2100613 /C8FACTURA_1628170963272_340010117 69.5.xml</v>
      </c>
      <c r="AP1335" t="s">
        <v>2500</v>
      </c>
      <c r="AQ1335" t="s">
        <v>2501</v>
      </c>
      <c r="AR1335" t="s">
        <v>2502</v>
      </c>
      <c r="AS1335" t="s">
        <v>2503</v>
      </c>
      <c r="AT1335" s="1">
        <v>44414</v>
      </c>
      <c r="AU1335" s="1">
        <v>44425</v>
      </c>
    </row>
    <row r="1336" spans="1:47" x14ac:dyDescent="0.3">
      <c r="A1336" t="s">
        <v>2506</v>
      </c>
      <c r="B1336" t="s">
        <v>198</v>
      </c>
      <c r="C1336" t="s">
        <v>199</v>
      </c>
      <c r="D1336">
        <v>100490</v>
      </c>
      <c r="E1336" t="s">
        <v>2507</v>
      </c>
      <c r="F1336" t="s">
        <v>2508</v>
      </c>
      <c r="G1336" t="s">
        <v>304</v>
      </c>
      <c r="H1336" t="s">
        <v>2509</v>
      </c>
      <c r="I1336" t="s">
        <v>54</v>
      </c>
      <c r="J1336" t="s">
        <v>2510</v>
      </c>
      <c r="K1336" t="s">
        <v>56</v>
      </c>
      <c r="L1336">
        <v>100210</v>
      </c>
      <c r="M1336" t="s">
        <v>205</v>
      </c>
      <c r="N1336">
        <v>0</v>
      </c>
      <c r="O1336" t="s">
        <v>58</v>
      </c>
      <c r="P1336" t="s">
        <v>59</v>
      </c>
      <c r="Q1336" t="s">
        <v>60</v>
      </c>
      <c r="R1336" t="s">
        <v>2510</v>
      </c>
      <c r="S1336" s="1">
        <v>44467</v>
      </c>
      <c r="T1336" s="1">
        <v>44467</v>
      </c>
      <c r="U1336">
        <v>37501</v>
      </c>
      <c r="V1336" t="s">
        <v>94</v>
      </c>
      <c r="W1336" t="s">
        <v>2511</v>
      </c>
      <c r="X1336" s="1">
        <v>44470</v>
      </c>
      <c r="Y1336" t="s">
        <v>207</v>
      </c>
      <c r="Z1336">
        <v>0.01</v>
      </c>
      <c r="AA1336">
        <v>0</v>
      </c>
      <c r="AB1336">
        <v>0</v>
      </c>
      <c r="AC1336">
        <v>0</v>
      </c>
      <c r="AD1336">
        <v>0.01</v>
      </c>
      <c r="AE1336">
        <v>0.01</v>
      </c>
      <c r="AF1336">
        <v>1034</v>
      </c>
      <c r="AG1336" t="s">
        <v>2512</v>
      </c>
      <c r="AH1336" t="s">
        <v>66</v>
      </c>
      <c r="AI1336" t="s">
        <v>66</v>
      </c>
      <c r="AJ1336" t="s">
        <v>66</v>
      </c>
      <c r="AK1336" t="s">
        <v>66</v>
      </c>
      <c r="AL1336" t="s">
        <v>66</v>
      </c>
      <c r="AM1336" s="2" t="s">
        <v>73</v>
      </c>
      <c r="AN1336" t="s">
        <v>73</v>
      </c>
      <c r="AO1336" t="s">
        <v>73</v>
      </c>
      <c r="AP1336" t="s">
        <v>2513</v>
      </c>
      <c r="AQ1336" t="s">
        <v>2513</v>
      </c>
      <c r="AR1336" t="s">
        <v>2513</v>
      </c>
      <c r="AS1336" t="s">
        <v>2513</v>
      </c>
      <c r="AT1336" s="1">
        <v>44474</v>
      </c>
      <c r="AU1336" t="s">
        <v>73</v>
      </c>
    </row>
    <row r="1337" spans="1:47" x14ac:dyDescent="0.3">
      <c r="A1337" t="s">
        <v>2514</v>
      </c>
      <c r="B1337" t="s">
        <v>1675</v>
      </c>
      <c r="C1337" t="s">
        <v>2515</v>
      </c>
      <c r="D1337">
        <v>100502</v>
      </c>
      <c r="E1337" t="s">
        <v>2516</v>
      </c>
      <c r="F1337" t="s">
        <v>2517</v>
      </c>
      <c r="G1337" t="s">
        <v>2518</v>
      </c>
      <c r="H1337" t="s">
        <v>2519</v>
      </c>
      <c r="I1337" t="s">
        <v>54</v>
      </c>
      <c r="J1337" t="s">
        <v>2520</v>
      </c>
      <c r="K1337" t="s">
        <v>56</v>
      </c>
      <c r="L1337">
        <v>0</v>
      </c>
      <c r="M1337" t="s">
        <v>73</v>
      </c>
      <c r="N1337">
        <v>0</v>
      </c>
      <c r="O1337" t="s">
        <v>58</v>
      </c>
      <c r="P1337" t="s">
        <v>59</v>
      </c>
      <c r="Q1337" t="s">
        <v>60</v>
      </c>
      <c r="R1337" t="s">
        <v>2520</v>
      </c>
      <c r="S1337" s="1">
        <v>44390</v>
      </c>
      <c r="T1337" s="1">
        <v>44390</v>
      </c>
      <c r="U1337">
        <v>37501</v>
      </c>
      <c r="V1337" t="s">
        <v>61</v>
      </c>
      <c r="W1337" t="s">
        <v>2521</v>
      </c>
      <c r="X1337" s="1">
        <v>44393</v>
      </c>
      <c r="Y1337" t="s">
        <v>63</v>
      </c>
      <c r="Z1337">
        <v>251.72</v>
      </c>
      <c r="AA1337">
        <v>16</v>
      </c>
      <c r="AB1337">
        <v>40.28</v>
      </c>
      <c r="AC1337">
        <v>30</v>
      </c>
      <c r="AD1337">
        <v>322</v>
      </c>
      <c r="AE1337">
        <v>322</v>
      </c>
      <c r="AF1337">
        <v>545</v>
      </c>
      <c r="AG1337" t="s">
        <v>2522</v>
      </c>
      <c r="AH1337" t="s">
        <v>65</v>
      </c>
      <c r="AI1337" t="s">
        <v>65</v>
      </c>
      <c r="AJ1337" t="s">
        <v>66</v>
      </c>
      <c r="AK1337" t="s">
        <v>66</v>
      </c>
      <c r="AL1337" t="s">
        <v>66</v>
      </c>
      <c r="AM1337" s="2" t="str">
        <f>HYPERLINK("https://transparencia.cidesi.mx/comprobantes/2021/CQ2100515 /C1comida 13-07-21.pdf")</f>
        <v>https://transparencia.cidesi.mx/comprobantes/2021/CQ2100515 /C1comida 13-07-21.pdf</v>
      </c>
      <c r="AN1337" t="str">
        <f>HYPERLINK("https://transparencia.cidesi.mx/comprobantes/2021/CQ2100515 /C1comida 13-07-21.pdf")</f>
        <v>https://transparencia.cidesi.mx/comprobantes/2021/CQ2100515 /C1comida 13-07-21.pdf</v>
      </c>
      <c r="AO1337" t="str">
        <f>HYPERLINK("https://transparencia.cidesi.mx/comprobantes/2021/CQ2100515 /C1comida 13-07-21.xml")</f>
        <v>https://transparencia.cidesi.mx/comprobantes/2021/CQ2100515 /C1comida 13-07-21.xml</v>
      </c>
      <c r="AP1337" t="s">
        <v>2523</v>
      </c>
      <c r="AQ1337" t="s">
        <v>2524</v>
      </c>
      <c r="AR1337" t="s">
        <v>2525</v>
      </c>
      <c r="AS1337" t="s">
        <v>2526</v>
      </c>
      <c r="AT1337" s="1">
        <v>44398</v>
      </c>
      <c r="AU1337" s="1">
        <v>44399</v>
      </c>
    </row>
    <row r="1338" spans="1:47" x14ac:dyDescent="0.3">
      <c r="A1338" t="s">
        <v>47</v>
      </c>
      <c r="B1338" t="s">
        <v>224</v>
      </c>
      <c r="C1338" t="s">
        <v>372</v>
      </c>
      <c r="D1338">
        <v>100504</v>
      </c>
      <c r="E1338" t="s">
        <v>2527</v>
      </c>
      <c r="F1338" t="s">
        <v>352</v>
      </c>
      <c r="G1338" t="s">
        <v>708</v>
      </c>
      <c r="H1338" t="s">
        <v>2528</v>
      </c>
      <c r="I1338" t="s">
        <v>54</v>
      </c>
      <c r="J1338" t="s">
        <v>2529</v>
      </c>
      <c r="K1338" t="s">
        <v>56</v>
      </c>
      <c r="L1338">
        <v>379</v>
      </c>
      <c r="M1338" t="s">
        <v>2530</v>
      </c>
      <c r="N1338">
        <v>0</v>
      </c>
      <c r="O1338" t="s">
        <v>58</v>
      </c>
      <c r="P1338" t="s">
        <v>59</v>
      </c>
      <c r="Q1338" t="s">
        <v>378</v>
      </c>
      <c r="R1338" t="s">
        <v>2529</v>
      </c>
      <c r="S1338" s="1">
        <v>44424</v>
      </c>
      <c r="T1338" s="1">
        <v>44424</v>
      </c>
      <c r="U1338">
        <v>37501</v>
      </c>
      <c r="V1338" t="s">
        <v>61</v>
      </c>
      <c r="W1338" t="s">
        <v>2531</v>
      </c>
      <c r="X1338" s="1">
        <v>44427</v>
      </c>
      <c r="Y1338" t="s">
        <v>63</v>
      </c>
      <c r="Z1338">
        <v>475.86</v>
      </c>
      <c r="AA1338">
        <v>16</v>
      </c>
      <c r="AB1338">
        <v>76.14</v>
      </c>
      <c r="AC1338">
        <v>55</v>
      </c>
      <c r="AD1338">
        <v>607</v>
      </c>
      <c r="AE1338">
        <v>607</v>
      </c>
      <c r="AF1338">
        <v>783</v>
      </c>
      <c r="AG1338" t="s">
        <v>2532</v>
      </c>
      <c r="AH1338" t="s">
        <v>65</v>
      </c>
      <c r="AI1338" t="s">
        <v>65</v>
      </c>
      <c r="AJ1338" t="s">
        <v>66</v>
      </c>
      <c r="AK1338" t="s">
        <v>66</v>
      </c>
      <c r="AL1338" t="s">
        <v>66</v>
      </c>
      <c r="AM1338" s="2" t="str">
        <f>HYPERLINK("https://transparencia.cidesi.mx/comprobantes/2021/CQ2100667 /C1CSLS296276_NDG071019LH4.xml")</f>
        <v>https://transparencia.cidesi.mx/comprobantes/2021/CQ2100667 /C1CSLS296276_NDG071019LH4.xml</v>
      </c>
      <c r="AN1338" t="str">
        <f>HYPERLINK("https://transparencia.cidesi.mx/comprobantes/2021/CQ2100667 /C1CSLS296276_NDG071019LH4.xml")</f>
        <v>https://transparencia.cidesi.mx/comprobantes/2021/CQ2100667 /C1CSLS296276_NDG071019LH4.xml</v>
      </c>
      <c r="AO1338" t="str">
        <f>HYPERLINK("https://transparencia.cidesi.mx/comprobantes/2021/CQ2100667 /C1CSLS296276_NDG071019LH4.xml")</f>
        <v>https://transparencia.cidesi.mx/comprobantes/2021/CQ2100667 /C1CSLS296276_NDG071019LH4.xml</v>
      </c>
      <c r="AP1338" t="s">
        <v>2533</v>
      </c>
      <c r="AQ1338" t="s">
        <v>2533</v>
      </c>
      <c r="AR1338" t="s">
        <v>2533</v>
      </c>
      <c r="AS1338" t="s">
        <v>2533</v>
      </c>
      <c r="AT1338" s="1">
        <v>44428</v>
      </c>
      <c r="AU1338" s="1">
        <v>44432</v>
      </c>
    </row>
    <row r="1339" spans="1:47" x14ac:dyDescent="0.3">
      <c r="A1339" t="s">
        <v>47</v>
      </c>
      <c r="B1339" t="s">
        <v>224</v>
      </c>
      <c r="C1339" t="s">
        <v>372</v>
      </c>
      <c r="D1339">
        <v>100504</v>
      </c>
      <c r="E1339" t="s">
        <v>2527</v>
      </c>
      <c r="F1339" t="s">
        <v>352</v>
      </c>
      <c r="G1339" t="s">
        <v>708</v>
      </c>
      <c r="H1339" t="s">
        <v>2534</v>
      </c>
      <c r="I1339" t="s">
        <v>54</v>
      </c>
      <c r="J1339" t="s">
        <v>2535</v>
      </c>
      <c r="K1339" t="s">
        <v>56</v>
      </c>
      <c r="L1339">
        <v>379</v>
      </c>
      <c r="M1339" t="s">
        <v>2530</v>
      </c>
      <c r="N1339">
        <v>0</v>
      </c>
      <c r="O1339" t="s">
        <v>58</v>
      </c>
      <c r="P1339" t="s">
        <v>59</v>
      </c>
      <c r="Q1339" t="s">
        <v>378</v>
      </c>
      <c r="R1339" t="s">
        <v>2535</v>
      </c>
      <c r="S1339" s="1">
        <v>44468</v>
      </c>
      <c r="T1339" s="1">
        <v>44468</v>
      </c>
      <c r="U1339">
        <v>37501</v>
      </c>
      <c r="V1339" t="s">
        <v>61</v>
      </c>
      <c r="W1339" t="s">
        <v>2536</v>
      </c>
      <c r="X1339" s="1">
        <v>44470</v>
      </c>
      <c r="Y1339" t="s">
        <v>207</v>
      </c>
      <c r="Z1339">
        <v>333.28</v>
      </c>
      <c r="AA1339">
        <v>15</v>
      </c>
      <c r="AB1339">
        <v>59.72</v>
      </c>
      <c r="AC1339">
        <v>40</v>
      </c>
      <c r="AD1339">
        <v>433</v>
      </c>
      <c r="AE1339">
        <v>433</v>
      </c>
      <c r="AF1339">
        <v>783</v>
      </c>
      <c r="AG1339" t="s">
        <v>2532</v>
      </c>
      <c r="AH1339" t="s">
        <v>65</v>
      </c>
      <c r="AI1339" t="s">
        <v>65</v>
      </c>
      <c r="AJ1339" t="s">
        <v>66</v>
      </c>
      <c r="AK1339" t="s">
        <v>66</v>
      </c>
      <c r="AL1339" t="s">
        <v>66</v>
      </c>
      <c r="AM1339" s="2" t="str">
        <f>HYPERLINK("https://transparencia.cidesi.mx/comprobantes/2021/CQ2100939 /C1A20209_GAL180827321.xml")</f>
        <v>https://transparencia.cidesi.mx/comprobantes/2021/CQ2100939 /C1A20209_GAL180827321.xml</v>
      </c>
      <c r="AN1339" t="str">
        <f>HYPERLINK("https://transparencia.cidesi.mx/comprobantes/2021/CQ2100939 /C1A20209_GAL180827321.xml")</f>
        <v>https://transparencia.cidesi.mx/comprobantes/2021/CQ2100939 /C1A20209_GAL180827321.xml</v>
      </c>
      <c r="AO1339" t="str">
        <f>HYPERLINK("https://transparencia.cidesi.mx/comprobantes/2021/CQ2100939 /C1A20209_GAL180827321.xml")</f>
        <v>https://transparencia.cidesi.mx/comprobantes/2021/CQ2100939 /C1A20209_GAL180827321.xml</v>
      </c>
      <c r="AP1339" t="s">
        <v>2537</v>
      </c>
      <c r="AQ1339" t="s">
        <v>2537</v>
      </c>
      <c r="AR1339" t="s">
        <v>2537</v>
      </c>
      <c r="AS1339" t="s">
        <v>2537</v>
      </c>
      <c r="AT1339" s="1">
        <v>44476</v>
      </c>
      <c r="AU1339" t="s">
        <v>73</v>
      </c>
    </row>
    <row r="1340" spans="1:47" x14ac:dyDescent="0.3">
      <c r="A1340" t="s">
        <v>2538</v>
      </c>
      <c r="B1340" t="s">
        <v>198</v>
      </c>
      <c r="C1340" t="s">
        <v>2539</v>
      </c>
      <c r="D1340">
        <v>100505</v>
      </c>
      <c r="E1340" t="s">
        <v>2540</v>
      </c>
      <c r="F1340" t="s">
        <v>2541</v>
      </c>
      <c r="G1340" t="s">
        <v>1480</v>
      </c>
      <c r="H1340" t="s">
        <v>2542</v>
      </c>
      <c r="I1340" t="s">
        <v>54</v>
      </c>
      <c r="J1340" t="s">
        <v>2543</v>
      </c>
      <c r="K1340" t="s">
        <v>56</v>
      </c>
      <c r="L1340">
        <v>100210</v>
      </c>
      <c r="M1340" t="s">
        <v>205</v>
      </c>
      <c r="N1340">
        <v>0</v>
      </c>
      <c r="O1340" t="s">
        <v>58</v>
      </c>
      <c r="P1340" t="s">
        <v>59</v>
      </c>
      <c r="Q1340" t="s">
        <v>2315</v>
      </c>
      <c r="R1340" t="s">
        <v>2543</v>
      </c>
      <c r="S1340" s="1">
        <v>44392</v>
      </c>
      <c r="T1340" s="1">
        <v>44392</v>
      </c>
      <c r="U1340">
        <v>37501</v>
      </c>
      <c r="V1340" t="s">
        <v>2322</v>
      </c>
      <c r="W1340" t="s">
        <v>2544</v>
      </c>
      <c r="X1340" s="1">
        <v>44397</v>
      </c>
      <c r="Y1340" t="s">
        <v>63</v>
      </c>
      <c r="Z1340">
        <v>66</v>
      </c>
      <c r="AA1340">
        <v>0</v>
      </c>
      <c r="AB1340">
        <v>0</v>
      </c>
      <c r="AC1340">
        <v>0</v>
      </c>
      <c r="AD1340">
        <v>66</v>
      </c>
      <c r="AE1340">
        <v>730</v>
      </c>
      <c r="AF1340">
        <v>1034</v>
      </c>
      <c r="AG1340" t="s">
        <v>2545</v>
      </c>
      <c r="AH1340" t="s">
        <v>66</v>
      </c>
      <c r="AI1340" t="s">
        <v>66</v>
      </c>
      <c r="AJ1340" t="s">
        <v>66</v>
      </c>
      <c r="AK1340" t="s">
        <v>65</v>
      </c>
      <c r="AL1340" t="s">
        <v>66</v>
      </c>
      <c r="AM1340" s="2" t="s">
        <v>73</v>
      </c>
      <c r="AN1340" t="s">
        <v>73</v>
      </c>
      <c r="AO1340" t="s">
        <v>73</v>
      </c>
      <c r="AP1340" t="s">
        <v>2543</v>
      </c>
      <c r="AQ1340" t="s">
        <v>2546</v>
      </c>
      <c r="AR1340" t="s">
        <v>2547</v>
      </c>
      <c r="AS1340" t="s">
        <v>2548</v>
      </c>
      <c r="AT1340" s="1">
        <v>44398</v>
      </c>
      <c r="AU1340" s="1">
        <v>44438</v>
      </c>
    </row>
    <row r="1341" spans="1:47" x14ac:dyDescent="0.3">
      <c r="A1341" t="s">
        <v>2538</v>
      </c>
      <c r="B1341" t="s">
        <v>198</v>
      </c>
      <c r="C1341" t="s">
        <v>2539</v>
      </c>
      <c r="D1341">
        <v>100505</v>
      </c>
      <c r="E1341" t="s">
        <v>2540</v>
      </c>
      <c r="F1341" t="s">
        <v>2541</v>
      </c>
      <c r="G1341" t="s">
        <v>1480</v>
      </c>
      <c r="H1341" t="s">
        <v>2542</v>
      </c>
      <c r="I1341" t="s">
        <v>54</v>
      </c>
      <c r="J1341" t="s">
        <v>2543</v>
      </c>
      <c r="K1341" t="s">
        <v>56</v>
      </c>
      <c r="L1341">
        <v>100210</v>
      </c>
      <c r="M1341" t="s">
        <v>205</v>
      </c>
      <c r="N1341">
        <v>0</v>
      </c>
      <c r="O1341" t="s">
        <v>58</v>
      </c>
      <c r="P1341" t="s">
        <v>59</v>
      </c>
      <c r="Q1341" t="s">
        <v>2315</v>
      </c>
      <c r="R1341" t="s">
        <v>2543</v>
      </c>
      <c r="S1341" s="1">
        <v>44392</v>
      </c>
      <c r="T1341" s="1">
        <v>44392</v>
      </c>
      <c r="U1341">
        <v>37501</v>
      </c>
      <c r="V1341" t="s">
        <v>61</v>
      </c>
      <c r="W1341" t="s">
        <v>2544</v>
      </c>
      <c r="X1341" s="1">
        <v>44397</v>
      </c>
      <c r="Y1341" t="s">
        <v>63</v>
      </c>
      <c r="Z1341">
        <v>253.1</v>
      </c>
      <c r="AA1341">
        <v>16</v>
      </c>
      <c r="AB1341">
        <v>30.9</v>
      </c>
      <c r="AC1341">
        <v>0</v>
      </c>
      <c r="AD1341">
        <v>284</v>
      </c>
      <c r="AE1341">
        <v>730</v>
      </c>
      <c r="AF1341">
        <v>1034</v>
      </c>
      <c r="AG1341" t="s">
        <v>2549</v>
      </c>
      <c r="AH1341" t="s">
        <v>65</v>
      </c>
      <c r="AI1341" t="s">
        <v>65</v>
      </c>
      <c r="AJ1341" t="s">
        <v>66</v>
      </c>
      <c r="AK1341" t="s">
        <v>66</v>
      </c>
      <c r="AL1341" t="s">
        <v>66</v>
      </c>
      <c r="AM1341" s="2" t="str">
        <f>HYPERLINK("https://transparencia.cidesi.mx/comprobantes/2021/CQ2100537 /C269189570-star buck pdf.pdf")</f>
        <v>https://transparencia.cidesi.mx/comprobantes/2021/CQ2100537 /C269189570-star buck pdf.pdf</v>
      </c>
      <c r="AN1341" t="str">
        <f>HYPERLINK("https://transparencia.cidesi.mx/comprobantes/2021/CQ2100537 /C269189570-star buck pdf.pdf")</f>
        <v>https://transparencia.cidesi.mx/comprobantes/2021/CQ2100537 /C269189570-star buck pdf.pdf</v>
      </c>
      <c r="AO1341" t="str">
        <f>HYPERLINK("https://transparencia.cidesi.mx/comprobantes/2021/CQ2100537 /C269189570- star buck xml.xml")</f>
        <v>https://transparencia.cidesi.mx/comprobantes/2021/CQ2100537 /C269189570- star buck xml.xml</v>
      </c>
      <c r="AP1341" t="s">
        <v>2543</v>
      </c>
      <c r="AQ1341" t="s">
        <v>2546</v>
      </c>
      <c r="AR1341" t="s">
        <v>2547</v>
      </c>
      <c r="AS1341" t="s">
        <v>2548</v>
      </c>
      <c r="AT1341" s="1">
        <v>44398</v>
      </c>
      <c r="AU1341" s="1">
        <v>44438</v>
      </c>
    </row>
    <row r="1342" spans="1:47" x14ac:dyDescent="0.3">
      <c r="A1342" t="s">
        <v>2538</v>
      </c>
      <c r="B1342" t="s">
        <v>198</v>
      </c>
      <c r="C1342" t="s">
        <v>2539</v>
      </c>
      <c r="D1342">
        <v>100505</v>
      </c>
      <c r="E1342" t="s">
        <v>2540</v>
      </c>
      <c r="F1342" t="s">
        <v>2541</v>
      </c>
      <c r="G1342" t="s">
        <v>1480</v>
      </c>
      <c r="H1342" t="s">
        <v>2542</v>
      </c>
      <c r="I1342" t="s">
        <v>54</v>
      </c>
      <c r="J1342" t="s">
        <v>2543</v>
      </c>
      <c r="K1342" t="s">
        <v>56</v>
      </c>
      <c r="L1342">
        <v>100210</v>
      </c>
      <c r="M1342" t="s">
        <v>205</v>
      </c>
      <c r="N1342">
        <v>0</v>
      </c>
      <c r="O1342" t="s">
        <v>58</v>
      </c>
      <c r="P1342" t="s">
        <v>59</v>
      </c>
      <c r="Q1342" t="s">
        <v>2315</v>
      </c>
      <c r="R1342" t="s">
        <v>2543</v>
      </c>
      <c r="S1342" s="1">
        <v>44392</v>
      </c>
      <c r="T1342" s="1">
        <v>44392</v>
      </c>
      <c r="U1342">
        <v>37501</v>
      </c>
      <c r="V1342" t="s">
        <v>61</v>
      </c>
      <c r="W1342" t="s">
        <v>2544</v>
      </c>
      <c r="X1342" s="1">
        <v>44397</v>
      </c>
      <c r="Y1342" t="s">
        <v>63</v>
      </c>
      <c r="Z1342">
        <v>298.27999999999997</v>
      </c>
      <c r="AA1342">
        <v>16</v>
      </c>
      <c r="AB1342">
        <v>47.72</v>
      </c>
      <c r="AC1342">
        <v>34</v>
      </c>
      <c r="AD1342">
        <v>380</v>
      </c>
      <c r="AE1342">
        <v>730</v>
      </c>
      <c r="AF1342">
        <v>1034</v>
      </c>
      <c r="AG1342" t="s">
        <v>2549</v>
      </c>
      <c r="AH1342" t="s">
        <v>65</v>
      </c>
      <c r="AI1342" t="s">
        <v>65</v>
      </c>
      <c r="AJ1342" t="s">
        <v>66</v>
      </c>
      <c r="AK1342" t="s">
        <v>66</v>
      </c>
      <c r="AL1342" t="s">
        <v>66</v>
      </c>
      <c r="AM1342" s="2" t="str">
        <f>HYPERLINK("https://transparencia.cidesi.mx/comprobantes/2021/CQ2100537 /C369189485-finca pdf.pdf")</f>
        <v>https://transparencia.cidesi.mx/comprobantes/2021/CQ2100537 /C369189485-finca pdf.pdf</v>
      </c>
      <c r="AN1342" t="str">
        <f>HYPERLINK("https://transparencia.cidesi.mx/comprobantes/2021/CQ2100537 /C369189485-finca pdf.pdf")</f>
        <v>https://transparencia.cidesi.mx/comprobantes/2021/CQ2100537 /C369189485-finca pdf.pdf</v>
      </c>
      <c r="AO1342" t="str">
        <f>HYPERLINK("https://transparencia.cidesi.mx/comprobantes/2021/CQ2100537 /C369189485-la finca xml.xml")</f>
        <v>https://transparencia.cidesi.mx/comprobantes/2021/CQ2100537 /C369189485-la finca xml.xml</v>
      </c>
      <c r="AP1342" t="s">
        <v>2543</v>
      </c>
      <c r="AQ1342" t="s">
        <v>2546</v>
      </c>
      <c r="AR1342" t="s">
        <v>2547</v>
      </c>
      <c r="AS1342" t="s">
        <v>2548</v>
      </c>
      <c r="AT1342" s="1">
        <v>44398</v>
      </c>
      <c r="AU1342" s="1">
        <v>44438</v>
      </c>
    </row>
    <row r="1343" spans="1:47" x14ac:dyDescent="0.3">
      <c r="A1343" t="s">
        <v>2538</v>
      </c>
      <c r="B1343" t="s">
        <v>198</v>
      </c>
      <c r="C1343" t="s">
        <v>2539</v>
      </c>
      <c r="D1343">
        <v>100505</v>
      </c>
      <c r="E1343" t="s">
        <v>2540</v>
      </c>
      <c r="F1343" t="s">
        <v>2541</v>
      </c>
      <c r="G1343" t="s">
        <v>1480</v>
      </c>
      <c r="H1343" t="s">
        <v>2550</v>
      </c>
      <c r="I1343" t="s">
        <v>54</v>
      </c>
      <c r="J1343" t="s">
        <v>2551</v>
      </c>
      <c r="K1343" t="s">
        <v>56</v>
      </c>
      <c r="L1343">
        <v>100210</v>
      </c>
      <c r="M1343" t="s">
        <v>205</v>
      </c>
      <c r="N1343">
        <v>0</v>
      </c>
      <c r="O1343" t="s">
        <v>58</v>
      </c>
      <c r="P1343" t="s">
        <v>59</v>
      </c>
      <c r="Q1343" t="s">
        <v>60</v>
      </c>
      <c r="R1343" t="s">
        <v>2551</v>
      </c>
      <c r="S1343" s="1">
        <v>44394</v>
      </c>
      <c r="T1343" s="1">
        <v>44394</v>
      </c>
      <c r="U1343">
        <v>37501</v>
      </c>
      <c r="V1343" t="s">
        <v>61</v>
      </c>
      <c r="W1343" t="s">
        <v>2552</v>
      </c>
      <c r="X1343" s="1">
        <v>44398</v>
      </c>
      <c r="Y1343" t="s">
        <v>63</v>
      </c>
      <c r="Z1343">
        <v>412.07</v>
      </c>
      <c r="AA1343">
        <v>16</v>
      </c>
      <c r="AB1343">
        <v>65.930000000000007</v>
      </c>
      <c r="AC1343">
        <v>47.8</v>
      </c>
      <c r="AD1343">
        <v>525.79999999999995</v>
      </c>
      <c r="AE1343">
        <v>647.79999999999995</v>
      </c>
      <c r="AF1343">
        <v>1034</v>
      </c>
      <c r="AG1343" t="s">
        <v>2549</v>
      </c>
      <c r="AH1343" t="s">
        <v>65</v>
      </c>
      <c r="AI1343" t="s">
        <v>65</v>
      </c>
      <c r="AJ1343" t="s">
        <v>66</v>
      </c>
      <c r="AK1343" t="s">
        <v>66</v>
      </c>
      <c r="AL1343" t="s">
        <v>66</v>
      </c>
      <c r="AM1343" s="2" t="str">
        <f>HYPERLINK("https://transparencia.cidesi.mx/comprobantes/2021/CQ2100541 /C1CID840309UG7_TIWEBDF6444539-toks pdf.pdf")</f>
        <v>https://transparencia.cidesi.mx/comprobantes/2021/CQ2100541 /C1CID840309UG7_TIWEBDF6444539-toks pdf.pdf</v>
      </c>
      <c r="AN1343" t="str">
        <f>HYPERLINK("https://transparencia.cidesi.mx/comprobantes/2021/CQ2100541 /C1CID840309UG7_TIWEBDF6444539-toks pdf.pdf")</f>
        <v>https://transparencia.cidesi.mx/comprobantes/2021/CQ2100541 /C1CID840309UG7_TIWEBDF6444539-toks pdf.pdf</v>
      </c>
      <c r="AO1343" t="str">
        <f>HYPERLINK("https://transparencia.cidesi.mx/comprobantes/2021/CQ2100541 /C1CID840309UG7_TIWEBDF6444539-toks xml.xml")</f>
        <v>https://transparencia.cidesi.mx/comprobantes/2021/CQ2100541 /C1CID840309UG7_TIWEBDF6444539-toks xml.xml</v>
      </c>
      <c r="AP1343" t="s">
        <v>2551</v>
      </c>
      <c r="AQ1343" t="s">
        <v>2553</v>
      </c>
      <c r="AR1343" t="s">
        <v>2554</v>
      </c>
      <c r="AS1343" t="s">
        <v>2555</v>
      </c>
      <c r="AT1343" s="1">
        <v>44404</v>
      </c>
      <c r="AU1343" s="1">
        <v>44411</v>
      </c>
    </row>
    <row r="1344" spans="1:47" x14ac:dyDescent="0.3">
      <c r="A1344" t="s">
        <v>2538</v>
      </c>
      <c r="B1344" t="s">
        <v>198</v>
      </c>
      <c r="C1344" t="s">
        <v>2539</v>
      </c>
      <c r="D1344">
        <v>100505</v>
      </c>
      <c r="E1344" t="s">
        <v>2540</v>
      </c>
      <c r="F1344" t="s">
        <v>2541</v>
      </c>
      <c r="G1344" t="s">
        <v>1480</v>
      </c>
      <c r="H1344" t="s">
        <v>2550</v>
      </c>
      <c r="I1344" t="s">
        <v>54</v>
      </c>
      <c r="J1344" t="s">
        <v>2551</v>
      </c>
      <c r="K1344" t="s">
        <v>56</v>
      </c>
      <c r="L1344">
        <v>100210</v>
      </c>
      <c r="M1344" t="s">
        <v>205</v>
      </c>
      <c r="N1344">
        <v>0</v>
      </c>
      <c r="O1344" t="s">
        <v>58</v>
      </c>
      <c r="P1344" t="s">
        <v>59</v>
      </c>
      <c r="Q1344" t="s">
        <v>60</v>
      </c>
      <c r="R1344" t="s">
        <v>2551</v>
      </c>
      <c r="S1344" s="1">
        <v>44394</v>
      </c>
      <c r="T1344" s="1">
        <v>44394</v>
      </c>
      <c r="U1344">
        <v>37501</v>
      </c>
      <c r="V1344" t="s">
        <v>61</v>
      </c>
      <c r="W1344" t="s">
        <v>2552</v>
      </c>
      <c r="X1344" s="1">
        <v>44398</v>
      </c>
      <c r="Y1344" t="s">
        <v>63</v>
      </c>
      <c r="Z1344">
        <v>105.17</v>
      </c>
      <c r="AA1344">
        <v>16</v>
      </c>
      <c r="AB1344">
        <v>16.829999999999998</v>
      </c>
      <c r="AC1344">
        <v>0</v>
      </c>
      <c r="AD1344">
        <v>122</v>
      </c>
      <c r="AE1344">
        <v>647.79999999999995</v>
      </c>
      <c r="AF1344">
        <v>1034</v>
      </c>
      <c r="AG1344" t="s">
        <v>2549</v>
      </c>
      <c r="AH1344" t="s">
        <v>65</v>
      </c>
      <c r="AI1344" t="s">
        <v>65</v>
      </c>
      <c r="AJ1344" t="s">
        <v>66</v>
      </c>
      <c r="AK1344" t="s">
        <v>66</v>
      </c>
      <c r="AL1344" t="s">
        <v>66</v>
      </c>
      <c r="AM1344" s="2" t="str">
        <f>HYPERLINK("https://transparencia.cidesi.mx/comprobantes/2021/CQ2100541 /C2-starbuck pdf.pdf")</f>
        <v>https://transparencia.cidesi.mx/comprobantes/2021/CQ2100541 /C2-starbuck pdf.pdf</v>
      </c>
      <c r="AN1344" t="str">
        <f>HYPERLINK("https://transparencia.cidesi.mx/comprobantes/2021/CQ2100541 /C2-starbuck pdf.pdf")</f>
        <v>https://transparencia.cidesi.mx/comprobantes/2021/CQ2100541 /C2-starbuck pdf.pdf</v>
      </c>
      <c r="AO1344" t="str">
        <f>HYPERLINK("https://transparencia.cidesi.mx/comprobantes/2021/CQ2100541 /C269189633-starbuck xml.xml")</f>
        <v>https://transparencia.cidesi.mx/comprobantes/2021/CQ2100541 /C269189633-starbuck xml.xml</v>
      </c>
      <c r="AP1344" t="s">
        <v>2551</v>
      </c>
      <c r="AQ1344" t="s">
        <v>2553</v>
      </c>
      <c r="AR1344" t="s">
        <v>2554</v>
      </c>
      <c r="AS1344" t="s">
        <v>2555</v>
      </c>
      <c r="AT1344" s="1">
        <v>44404</v>
      </c>
      <c r="AU1344" s="1">
        <v>44411</v>
      </c>
    </row>
    <row r="1345" spans="1:47" x14ac:dyDescent="0.3">
      <c r="A1345" t="s">
        <v>2538</v>
      </c>
      <c r="B1345" t="s">
        <v>198</v>
      </c>
      <c r="C1345" t="s">
        <v>2539</v>
      </c>
      <c r="D1345">
        <v>100505</v>
      </c>
      <c r="E1345" t="s">
        <v>2540</v>
      </c>
      <c r="F1345" t="s">
        <v>2541</v>
      </c>
      <c r="G1345" t="s">
        <v>1480</v>
      </c>
      <c r="H1345" t="s">
        <v>2556</v>
      </c>
      <c r="I1345" t="s">
        <v>54</v>
      </c>
      <c r="J1345" t="s">
        <v>2557</v>
      </c>
      <c r="K1345" t="s">
        <v>56</v>
      </c>
      <c r="L1345">
        <v>100210</v>
      </c>
      <c r="M1345" t="s">
        <v>205</v>
      </c>
      <c r="N1345">
        <v>0</v>
      </c>
      <c r="O1345" t="s">
        <v>58</v>
      </c>
      <c r="P1345" t="s">
        <v>59</v>
      </c>
      <c r="Q1345" t="s">
        <v>60</v>
      </c>
      <c r="R1345" t="s">
        <v>2557</v>
      </c>
      <c r="S1345" s="1">
        <v>44428</v>
      </c>
      <c r="T1345" s="1">
        <v>44428</v>
      </c>
      <c r="U1345">
        <v>37501</v>
      </c>
      <c r="V1345" t="s">
        <v>61</v>
      </c>
      <c r="W1345" t="s">
        <v>2558</v>
      </c>
      <c r="X1345" s="1">
        <v>44434</v>
      </c>
      <c r="Y1345" t="s">
        <v>63</v>
      </c>
      <c r="Z1345">
        <v>115</v>
      </c>
      <c r="AA1345">
        <v>0</v>
      </c>
      <c r="AB1345">
        <v>0</v>
      </c>
      <c r="AC1345">
        <v>0</v>
      </c>
      <c r="AD1345">
        <v>115</v>
      </c>
      <c r="AE1345">
        <v>497</v>
      </c>
      <c r="AF1345">
        <v>1034</v>
      </c>
      <c r="AG1345" t="s">
        <v>2549</v>
      </c>
      <c r="AH1345" t="s">
        <v>65</v>
      </c>
      <c r="AI1345" t="s">
        <v>66</v>
      </c>
      <c r="AJ1345" t="s">
        <v>66</v>
      </c>
      <c r="AK1345" t="s">
        <v>65</v>
      </c>
      <c r="AL1345" t="s">
        <v>66</v>
      </c>
      <c r="AM1345" s="2" t="s">
        <v>73</v>
      </c>
      <c r="AN1345" t="s">
        <v>73</v>
      </c>
      <c r="AO1345" t="s">
        <v>73</v>
      </c>
      <c r="AP1345" t="s">
        <v>2557</v>
      </c>
      <c r="AQ1345" t="s">
        <v>2559</v>
      </c>
      <c r="AR1345" t="s">
        <v>2560</v>
      </c>
      <c r="AS1345" t="s">
        <v>2561</v>
      </c>
      <c r="AT1345" s="1">
        <v>44438</v>
      </c>
      <c r="AU1345" s="1">
        <v>44442</v>
      </c>
    </row>
    <row r="1346" spans="1:47" x14ac:dyDescent="0.3">
      <c r="A1346" t="s">
        <v>2538</v>
      </c>
      <c r="B1346" t="s">
        <v>198</v>
      </c>
      <c r="C1346" t="s">
        <v>2539</v>
      </c>
      <c r="D1346">
        <v>100505</v>
      </c>
      <c r="E1346" t="s">
        <v>2540</v>
      </c>
      <c r="F1346" t="s">
        <v>2541</v>
      </c>
      <c r="G1346" t="s">
        <v>1480</v>
      </c>
      <c r="H1346" t="s">
        <v>2556</v>
      </c>
      <c r="I1346" t="s">
        <v>54</v>
      </c>
      <c r="J1346" t="s">
        <v>2557</v>
      </c>
      <c r="K1346" t="s">
        <v>56</v>
      </c>
      <c r="L1346">
        <v>100210</v>
      </c>
      <c r="M1346" t="s">
        <v>205</v>
      </c>
      <c r="N1346">
        <v>0</v>
      </c>
      <c r="O1346" t="s">
        <v>58</v>
      </c>
      <c r="P1346" t="s">
        <v>59</v>
      </c>
      <c r="Q1346" t="s">
        <v>60</v>
      </c>
      <c r="R1346" t="s">
        <v>2557</v>
      </c>
      <c r="S1346" s="1">
        <v>44428</v>
      </c>
      <c r="T1346" s="1">
        <v>44428</v>
      </c>
      <c r="U1346">
        <v>37501</v>
      </c>
      <c r="V1346" t="s">
        <v>61</v>
      </c>
      <c r="W1346" t="s">
        <v>2558</v>
      </c>
      <c r="X1346" s="1">
        <v>44434</v>
      </c>
      <c r="Y1346" t="s">
        <v>63</v>
      </c>
      <c r="Z1346">
        <v>200</v>
      </c>
      <c r="AA1346">
        <v>16</v>
      </c>
      <c r="AB1346">
        <v>32</v>
      </c>
      <c r="AC1346">
        <v>0</v>
      </c>
      <c r="AD1346">
        <v>232</v>
      </c>
      <c r="AE1346">
        <v>497</v>
      </c>
      <c r="AF1346">
        <v>1034</v>
      </c>
      <c r="AG1346" t="s">
        <v>2549</v>
      </c>
      <c r="AH1346" t="s">
        <v>65</v>
      </c>
      <c r="AI1346" t="s">
        <v>65</v>
      </c>
      <c r="AJ1346" t="s">
        <v>66</v>
      </c>
      <c r="AK1346" t="s">
        <v>66</v>
      </c>
      <c r="AL1346" t="s">
        <v>66</v>
      </c>
      <c r="AM1346" s="2" t="str">
        <f>HYPERLINK("https://transparencia.cidesi.mx/comprobantes/2021/CQ2100695 /C2CD769BFC-C1CC-4A04-B8BB-2364597D571B-carl junior.pdf")</f>
        <v>https://transparencia.cidesi.mx/comprobantes/2021/CQ2100695 /C2CD769BFC-C1CC-4A04-B8BB-2364597D571B-carl junior.pdf</v>
      </c>
      <c r="AN1346" t="str">
        <f>HYPERLINK("https://transparencia.cidesi.mx/comprobantes/2021/CQ2100695 /C2CD769BFC-C1CC-4A04-B8BB-2364597D571B-carl junior.pdf")</f>
        <v>https://transparencia.cidesi.mx/comprobantes/2021/CQ2100695 /C2CD769BFC-C1CC-4A04-B8BB-2364597D571B-carl junior.pdf</v>
      </c>
      <c r="AO1346" t="str">
        <f>HYPERLINK("https://transparencia.cidesi.mx/comprobantes/2021/CQ2100695 /C2CD769BFC-C1CC-4A04-B8BB-2364597D571B-carl juniors-1.xml")</f>
        <v>https://transparencia.cidesi.mx/comprobantes/2021/CQ2100695 /C2CD769BFC-C1CC-4A04-B8BB-2364597D571B-carl juniors-1.xml</v>
      </c>
      <c r="AP1346" t="s">
        <v>2557</v>
      </c>
      <c r="AQ1346" t="s">
        <v>2559</v>
      </c>
      <c r="AR1346" t="s">
        <v>2560</v>
      </c>
      <c r="AS1346" t="s">
        <v>2561</v>
      </c>
      <c r="AT1346" s="1">
        <v>44438</v>
      </c>
      <c r="AU1346" s="1">
        <v>44442</v>
      </c>
    </row>
    <row r="1347" spans="1:47" x14ac:dyDescent="0.3">
      <c r="A1347" t="s">
        <v>2538</v>
      </c>
      <c r="B1347" t="s">
        <v>198</v>
      </c>
      <c r="C1347" t="s">
        <v>2539</v>
      </c>
      <c r="D1347">
        <v>100505</v>
      </c>
      <c r="E1347" t="s">
        <v>2540</v>
      </c>
      <c r="F1347" t="s">
        <v>2541</v>
      </c>
      <c r="G1347" t="s">
        <v>1480</v>
      </c>
      <c r="H1347" t="s">
        <v>2556</v>
      </c>
      <c r="I1347" t="s">
        <v>54</v>
      </c>
      <c r="J1347" t="s">
        <v>2557</v>
      </c>
      <c r="K1347" t="s">
        <v>56</v>
      </c>
      <c r="L1347">
        <v>100210</v>
      </c>
      <c r="M1347" t="s">
        <v>205</v>
      </c>
      <c r="N1347">
        <v>0</v>
      </c>
      <c r="O1347" t="s">
        <v>58</v>
      </c>
      <c r="P1347" t="s">
        <v>59</v>
      </c>
      <c r="Q1347" t="s">
        <v>60</v>
      </c>
      <c r="R1347" t="s">
        <v>2557</v>
      </c>
      <c r="S1347" s="1">
        <v>44428</v>
      </c>
      <c r="T1347" s="1">
        <v>44428</v>
      </c>
      <c r="U1347">
        <v>37501</v>
      </c>
      <c r="V1347" t="s">
        <v>61</v>
      </c>
      <c r="W1347" t="s">
        <v>2558</v>
      </c>
      <c r="X1347" s="1">
        <v>44434</v>
      </c>
      <c r="Y1347" t="s">
        <v>63</v>
      </c>
      <c r="Z1347">
        <v>129.31</v>
      </c>
      <c r="AA1347">
        <v>16</v>
      </c>
      <c r="AB1347">
        <v>20.69</v>
      </c>
      <c r="AC1347">
        <v>0</v>
      </c>
      <c r="AD1347">
        <v>150</v>
      </c>
      <c r="AE1347">
        <v>497</v>
      </c>
      <c r="AF1347">
        <v>1034</v>
      </c>
      <c r="AG1347" t="s">
        <v>2549</v>
      </c>
      <c r="AH1347" t="s">
        <v>65</v>
      </c>
      <c r="AI1347" t="s">
        <v>65</v>
      </c>
      <c r="AJ1347" t="s">
        <v>66</v>
      </c>
      <c r="AK1347" t="s">
        <v>66</v>
      </c>
      <c r="AL1347" t="s">
        <v>66</v>
      </c>
      <c r="AM1347" s="2" t="str">
        <f>HYPERLINK("https://transparencia.cidesi.mx/comprobantes/2021/CQ2100695 /C369815079-star buck.pdf")</f>
        <v>https://transparencia.cidesi.mx/comprobantes/2021/CQ2100695 /C369815079-star buck.pdf</v>
      </c>
      <c r="AN1347" t="str">
        <f>HYPERLINK("https://transparencia.cidesi.mx/comprobantes/2021/CQ2100695 /C369815079-star buck.pdf")</f>
        <v>https://transparencia.cidesi.mx/comprobantes/2021/CQ2100695 /C369815079-star buck.pdf</v>
      </c>
      <c r="AO1347" t="str">
        <f>HYPERLINK("https://transparencia.cidesi.mx/comprobantes/2021/CQ2100695 /C369815079-star bucks-1.xml")</f>
        <v>https://transparencia.cidesi.mx/comprobantes/2021/CQ2100695 /C369815079-star bucks-1.xml</v>
      </c>
      <c r="AP1347" t="s">
        <v>2557</v>
      </c>
      <c r="AQ1347" t="s">
        <v>2559</v>
      </c>
      <c r="AR1347" t="s">
        <v>2560</v>
      </c>
      <c r="AS1347" t="s">
        <v>2561</v>
      </c>
      <c r="AT1347" s="1">
        <v>44438</v>
      </c>
      <c r="AU1347" s="1">
        <v>44442</v>
      </c>
    </row>
    <row r="1348" spans="1:47" x14ac:dyDescent="0.3">
      <c r="A1348" t="s">
        <v>2538</v>
      </c>
      <c r="B1348" t="s">
        <v>198</v>
      </c>
      <c r="C1348" t="s">
        <v>2539</v>
      </c>
      <c r="D1348">
        <v>100505</v>
      </c>
      <c r="E1348" t="s">
        <v>2540</v>
      </c>
      <c r="F1348" t="s">
        <v>2541</v>
      </c>
      <c r="G1348" t="s">
        <v>1480</v>
      </c>
      <c r="H1348" t="s">
        <v>2562</v>
      </c>
      <c r="I1348" t="s">
        <v>54</v>
      </c>
      <c r="J1348" t="s">
        <v>2563</v>
      </c>
      <c r="K1348" t="s">
        <v>56</v>
      </c>
      <c r="L1348">
        <v>100210</v>
      </c>
      <c r="M1348" t="s">
        <v>205</v>
      </c>
      <c r="N1348">
        <v>0</v>
      </c>
      <c r="O1348" t="s">
        <v>58</v>
      </c>
      <c r="P1348" t="s">
        <v>59</v>
      </c>
      <c r="Q1348" t="s">
        <v>60</v>
      </c>
      <c r="R1348" t="s">
        <v>2563</v>
      </c>
      <c r="S1348" s="1">
        <v>44443</v>
      </c>
      <c r="T1348" s="1">
        <v>44443</v>
      </c>
      <c r="U1348">
        <v>37501</v>
      </c>
      <c r="V1348" t="s">
        <v>61</v>
      </c>
      <c r="W1348" t="s">
        <v>2564</v>
      </c>
      <c r="X1348" s="1">
        <v>44446</v>
      </c>
      <c r="Y1348" t="s">
        <v>63</v>
      </c>
      <c r="Z1348">
        <v>353.14</v>
      </c>
      <c r="AA1348">
        <v>16</v>
      </c>
      <c r="AB1348">
        <v>39.86</v>
      </c>
      <c r="AC1348">
        <v>0</v>
      </c>
      <c r="AD1348">
        <v>393</v>
      </c>
      <c r="AE1348">
        <v>393</v>
      </c>
      <c r="AF1348">
        <v>1034</v>
      </c>
      <c r="AG1348" t="s">
        <v>2549</v>
      </c>
      <c r="AH1348" t="s">
        <v>65</v>
      </c>
      <c r="AI1348" t="s">
        <v>65</v>
      </c>
      <c r="AJ1348" t="s">
        <v>66</v>
      </c>
      <c r="AK1348" t="s">
        <v>66</v>
      </c>
      <c r="AL1348" t="s">
        <v>66</v>
      </c>
      <c r="AM1348" s="2" t="str">
        <f>HYPERLINK("https://transparencia.cidesi.mx/comprobantes/2021/CQ2100747 /C170121820 (1)-starbucks-1.pdf")</f>
        <v>https://transparencia.cidesi.mx/comprobantes/2021/CQ2100747 /C170121820 (1)-starbucks-1.pdf</v>
      </c>
      <c r="AN1348" t="str">
        <f>HYPERLINK("https://transparencia.cidesi.mx/comprobantes/2021/CQ2100747 /C170121820 (1)-starbucks-1.pdf")</f>
        <v>https://transparencia.cidesi.mx/comprobantes/2021/CQ2100747 /C170121820 (1)-starbucks-1.pdf</v>
      </c>
      <c r="AO1348" t="str">
        <f>HYPERLINK("https://transparencia.cidesi.mx/comprobantes/2021/CQ2100747 /C170121820.xml")</f>
        <v>https://transparencia.cidesi.mx/comprobantes/2021/CQ2100747 /C170121820.xml</v>
      </c>
      <c r="AP1348" t="s">
        <v>2563</v>
      </c>
      <c r="AQ1348" t="s">
        <v>2565</v>
      </c>
      <c r="AR1348" t="s">
        <v>2566</v>
      </c>
      <c r="AS1348" t="s">
        <v>2567</v>
      </c>
      <c r="AT1348" s="1">
        <v>44448</v>
      </c>
      <c r="AU1348" s="1">
        <v>44452</v>
      </c>
    </row>
    <row r="1349" spans="1:47" x14ac:dyDescent="0.3">
      <c r="A1349" t="s">
        <v>2538</v>
      </c>
      <c r="B1349" t="s">
        <v>198</v>
      </c>
      <c r="C1349" t="s">
        <v>2539</v>
      </c>
      <c r="D1349">
        <v>100505</v>
      </c>
      <c r="E1349" t="s">
        <v>2540</v>
      </c>
      <c r="F1349" t="s">
        <v>2541</v>
      </c>
      <c r="G1349" t="s">
        <v>1480</v>
      </c>
      <c r="H1349" t="s">
        <v>2568</v>
      </c>
      <c r="I1349" t="s">
        <v>54</v>
      </c>
      <c r="J1349" t="s">
        <v>2569</v>
      </c>
      <c r="K1349" t="s">
        <v>56</v>
      </c>
      <c r="L1349">
        <v>100210</v>
      </c>
      <c r="M1349" t="s">
        <v>205</v>
      </c>
      <c r="N1349">
        <v>0</v>
      </c>
      <c r="O1349" t="s">
        <v>58</v>
      </c>
      <c r="P1349" t="s">
        <v>59</v>
      </c>
      <c r="Q1349" t="s">
        <v>60</v>
      </c>
      <c r="R1349" t="s">
        <v>2569</v>
      </c>
      <c r="S1349" s="1">
        <v>44467</v>
      </c>
      <c r="T1349" s="1">
        <v>44467</v>
      </c>
      <c r="U1349">
        <v>37501</v>
      </c>
      <c r="V1349" t="s">
        <v>61</v>
      </c>
      <c r="W1349" t="s">
        <v>2570</v>
      </c>
      <c r="X1349" s="1">
        <v>44470</v>
      </c>
      <c r="Y1349" t="s">
        <v>207</v>
      </c>
      <c r="Z1349">
        <v>0.1</v>
      </c>
      <c r="AA1349">
        <v>0</v>
      </c>
      <c r="AB1349">
        <v>0</v>
      </c>
      <c r="AC1349">
        <v>0</v>
      </c>
      <c r="AD1349">
        <v>0.1</v>
      </c>
      <c r="AE1349">
        <v>0.1</v>
      </c>
      <c r="AF1349">
        <v>1034</v>
      </c>
      <c r="AG1349" t="s">
        <v>2549</v>
      </c>
      <c r="AH1349" t="s">
        <v>66</v>
      </c>
      <c r="AI1349" t="s">
        <v>66</v>
      </c>
      <c r="AJ1349" t="s">
        <v>66</v>
      </c>
      <c r="AK1349" t="s">
        <v>66</v>
      </c>
      <c r="AL1349" t="s">
        <v>66</v>
      </c>
      <c r="AM1349" s="2" t="s">
        <v>73</v>
      </c>
      <c r="AN1349" t="s">
        <v>73</v>
      </c>
      <c r="AO1349" t="s">
        <v>73</v>
      </c>
      <c r="AP1349" t="s">
        <v>2571</v>
      </c>
      <c r="AQ1349" t="s">
        <v>2571</v>
      </c>
      <c r="AR1349" t="s">
        <v>2571</v>
      </c>
      <c r="AS1349" t="s">
        <v>2571</v>
      </c>
      <c r="AT1349" s="1">
        <v>44475</v>
      </c>
      <c r="AU1349" t="s">
        <v>73</v>
      </c>
    </row>
    <row r="1350" spans="1:47" x14ac:dyDescent="0.3">
      <c r="A1350" t="s">
        <v>47</v>
      </c>
      <c r="B1350" t="s">
        <v>48</v>
      </c>
      <c r="C1350" t="s">
        <v>2058</v>
      </c>
      <c r="D1350">
        <v>100523</v>
      </c>
      <c r="E1350" t="s">
        <v>2572</v>
      </c>
      <c r="F1350" t="s">
        <v>83</v>
      </c>
      <c r="G1350" t="s">
        <v>2573</v>
      </c>
      <c r="H1350" t="s">
        <v>2574</v>
      </c>
      <c r="I1350" t="s">
        <v>54</v>
      </c>
      <c r="J1350" t="s">
        <v>2575</v>
      </c>
      <c r="K1350" t="s">
        <v>56</v>
      </c>
      <c r="L1350">
        <v>0</v>
      </c>
      <c r="M1350" t="s">
        <v>73</v>
      </c>
      <c r="N1350">
        <v>0</v>
      </c>
      <c r="O1350" t="s">
        <v>58</v>
      </c>
      <c r="P1350" t="s">
        <v>2064</v>
      </c>
      <c r="Q1350" t="s">
        <v>1432</v>
      </c>
      <c r="R1350" t="s">
        <v>2575</v>
      </c>
      <c r="S1350" s="1">
        <v>44397</v>
      </c>
      <c r="T1350" s="1">
        <v>44397</v>
      </c>
      <c r="U1350">
        <v>37501</v>
      </c>
      <c r="V1350" t="s">
        <v>61</v>
      </c>
      <c r="W1350" t="s">
        <v>2576</v>
      </c>
      <c r="X1350" s="1">
        <v>44399</v>
      </c>
      <c r="Y1350" t="s">
        <v>63</v>
      </c>
      <c r="Z1350">
        <v>195.69</v>
      </c>
      <c r="AA1350">
        <v>16</v>
      </c>
      <c r="AB1350">
        <v>31.31</v>
      </c>
      <c r="AC1350">
        <v>22.7</v>
      </c>
      <c r="AD1350">
        <v>249.7</v>
      </c>
      <c r="AE1350">
        <v>249.7</v>
      </c>
      <c r="AF1350">
        <v>545</v>
      </c>
      <c r="AG1350" t="s">
        <v>2577</v>
      </c>
      <c r="AH1350" t="s">
        <v>65</v>
      </c>
      <c r="AI1350" t="s">
        <v>65</v>
      </c>
      <c r="AJ1350" t="s">
        <v>66</v>
      </c>
      <c r="AK1350" t="s">
        <v>66</v>
      </c>
      <c r="AL1350" t="s">
        <v>66</v>
      </c>
      <c r="AM1350" s="2" t="str">
        <f>HYPERLINK("https://transparencia.cidesi.mx/comprobantes/2021/CE2100008 /C1OVICP 159562_OVI800131GQ6.pdf")</f>
        <v>https://transparencia.cidesi.mx/comprobantes/2021/CE2100008 /C1OVICP 159562_OVI800131GQ6.pdf</v>
      </c>
      <c r="AN1350" t="str">
        <f>HYPERLINK("https://transparencia.cidesi.mx/comprobantes/2021/CE2100008 /C1OVICP 159562_OVI800131GQ6.pdf")</f>
        <v>https://transparencia.cidesi.mx/comprobantes/2021/CE2100008 /C1OVICP 159562_OVI800131GQ6.pdf</v>
      </c>
      <c r="AO1350" t="str">
        <f>HYPERLINK("https://transparencia.cidesi.mx/comprobantes/2021/CE2100008 /C1OVICP 159562_OVI800131GQ6.xml")</f>
        <v>https://transparencia.cidesi.mx/comprobantes/2021/CE2100008 /C1OVICP 159562_OVI800131GQ6.xml</v>
      </c>
      <c r="AP1350" t="s">
        <v>2578</v>
      </c>
      <c r="AQ1350" t="s">
        <v>2579</v>
      </c>
      <c r="AR1350" t="s">
        <v>2580</v>
      </c>
      <c r="AS1350" t="s">
        <v>2581</v>
      </c>
      <c r="AT1350" s="1">
        <v>44400</v>
      </c>
      <c r="AU1350" s="1">
        <v>44424</v>
      </c>
    </row>
    <row r="1351" spans="1:47" x14ac:dyDescent="0.3">
      <c r="A1351" t="s">
        <v>47</v>
      </c>
      <c r="B1351" t="s">
        <v>48</v>
      </c>
      <c r="C1351" t="s">
        <v>2058</v>
      </c>
      <c r="D1351">
        <v>100523</v>
      </c>
      <c r="E1351" t="s">
        <v>2572</v>
      </c>
      <c r="F1351" t="s">
        <v>83</v>
      </c>
      <c r="G1351" t="s">
        <v>2573</v>
      </c>
      <c r="H1351" t="s">
        <v>2582</v>
      </c>
      <c r="I1351" t="s">
        <v>54</v>
      </c>
      <c r="J1351" t="s">
        <v>2583</v>
      </c>
      <c r="K1351" t="s">
        <v>56</v>
      </c>
      <c r="L1351">
        <v>101283</v>
      </c>
      <c r="M1351" t="s">
        <v>2063</v>
      </c>
      <c r="N1351">
        <v>0</v>
      </c>
      <c r="O1351" t="s">
        <v>58</v>
      </c>
      <c r="P1351" t="s">
        <v>2064</v>
      </c>
      <c r="Q1351" t="s">
        <v>2065</v>
      </c>
      <c r="R1351" t="s">
        <v>2583</v>
      </c>
      <c r="S1351" s="1">
        <v>44405</v>
      </c>
      <c r="T1351" s="1">
        <v>44405</v>
      </c>
      <c r="U1351">
        <v>37501</v>
      </c>
      <c r="V1351" t="s">
        <v>61</v>
      </c>
      <c r="W1351" t="s">
        <v>2584</v>
      </c>
      <c r="X1351" s="1">
        <v>44412</v>
      </c>
      <c r="Y1351" t="s">
        <v>63</v>
      </c>
      <c r="Z1351">
        <v>292.24</v>
      </c>
      <c r="AA1351">
        <v>16</v>
      </c>
      <c r="AB1351">
        <v>46.76</v>
      </c>
      <c r="AC1351">
        <v>33.9</v>
      </c>
      <c r="AD1351">
        <v>372.9</v>
      </c>
      <c r="AE1351">
        <v>372.9</v>
      </c>
      <c r="AF1351">
        <v>783</v>
      </c>
      <c r="AG1351" t="s">
        <v>2577</v>
      </c>
      <c r="AH1351" t="s">
        <v>65</v>
      </c>
      <c r="AI1351" t="s">
        <v>65</v>
      </c>
      <c r="AJ1351" t="s">
        <v>66</v>
      </c>
      <c r="AK1351" t="s">
        <v>66</v>
      </c>
      <c r="AL1351" t="s">
        <v>66</v>
      </c>
      <c r="AM1351" s="2" t="str">
        <f>HYPERLINK("https://transparencia.cidesi.mx/comprobantes/2021/CE2100015 /C1CHICTOAAAJ 85111_GAS910208GP3.pdf")</f>
        <v>https://transparencia.cidesi.mx/comprobantes/2021/CE2100015 /C1CHICTOAAAJ 85111_GAS910208GP3.pdf</v>
      </c>
      <c r="AN1351" t="str">
        <f>HYPERLINK("https://transparencia.cidesi.mx/comprobantes/2021/CE2100015 /C1CHICTOAAAJ 85111_GAS910208GP3.pdf")</f>
        <v>https://transparencia.cidesi.mx/comprobantes/2021/CE2100015 /C1CHICTOAAAJ 85111_GAS910208GP3.pdf</v>
      </c>
      <c r="AO1351" t="str">
        <f>HYPERLINK("https://transparencia.cidesi.mx/comprobantes/2021/CE2100015 /C1CHICTOAAAJ 85111_GAS910208GP3.xml")</f>
        <v>https://transparencia.cidesi.mx/comprobantes/2021/CE2100015 /C1CHICTOAAAJ 85111_GAS910208GP3.xml</v>
      </c>
      <c r="AP1351" t="s">
        <v>2585</v>
      </c>
      <c r="AQ1351" t="s">
        <v>2586</v>
      </c>
      <c r="AR1351" t="s">
        <v>2587</v>
      </c>
      <c r="AS1351" t="s">
        <v>2588</v>
      </c>
      <c r="AT1351" s="1">
        <v>44413</v>
      </c>
      <c r="AU1351" s="1">
        <v>44413</v>
      </c>
    </row>
    <row r="1352" spans="1:47" x14ac:dyDescent="0.3">
      <c r="A1352" t="s">
        <v>47</v>
      </c>
      <c r="B1352" t="s">
        <v>48</v>
      </c>
      <c r="C1352" t="s">
        <v>2058</v>
      </c>
      <c r="D1352">
        <v>100523</v>
      </c>
      <c r="E1352" t="s">
        <v>2572</v>
      </c>
      <c r="F1352" t="s">
        <v>83</v>
      </c>
      <c r="G1352" t="s">
        <v>2573</v>
      </c>
      <c r="H1352" t="s">
        <v>2589</v>
      </c>
      <c r="I1352" t="s">
        <v>54</v>
      </c>
      <c r="J1352" t="s">
        <v>2590</v>
      </c>
      <c r="K1352" t="s">
        <v>56</v>
      </c>
      <c r="L1352">
        <v>0</v>
      </c>
      <c r="M1352" t="s">
        <v>73</v>
      </c>
      <c r="N1352">
        <v>0</v>
      </c>
      <c r="O1352" t="s">
        <v>58</v>
      </c>
      <c r="P1352" t="s">
        <v>2064</v>
      </c>
      <c r="Q1352" t="s">
        <v>1432</v>
      </c>
      <c r="R1352" t="s">
        <v>2590</v>
      </c>
      <c r="S1352" s="1">
        <v>44426</v>
      </c>
      <c r="T1352" s="1">
        <v>44426</v>
      </c>
      <c r="U1352">
        <v>37501</v>
      </c>
      <c r="V1352" t="s">
        <v>61</v>
      </c>
      <c r="W1352" t="s">
        <v>2591</v>
      </c>
      <c r="X1352" s="1">
        <v>44428</v>
      </c>
      <c r="Y1352" t="s">
        <v>63</v>
      </c>
      <c r="Z1352">
        <v>198.62</v>
      </c>
      <c r="AA1352">
        <v>16</v>
      </c>
      <c r="AB1352">
        <v>31.78</v>
      </c>
      <c r="AC1352">
        <v>23</v>
      </c>
      <c r="AD1352">
        <v>253.4</v>
      </c>
      <c r="AE1352">
        <v>253.4</v>
      </c>
      <c r="AF1352">
        <v>545</v>
      </c>
      <c r="AG1352" t="s">
        <v>2577</v>
      </c>
      <c r="AH1352" t="s">
        <v>65</v>
      </c>
      <c r="AI1352" t="s">
        <v>65</v>
      </c>
      <c r="AJ1352" t="s">
        <v>66</v>
      </c>
      <c r="AK1352" t="s">
        <v>66</v>
      </c>
      <c r="AL1352" t="s">
        <v>66</v>
      </c>
      <c r="AM1352" s="2" t="str">
        <f>HYPERLINK("https://transparencia.cidesi.mx/comprobantes/2021/CE2100019 /C1OVICP 160628_OVI800131GQ6.pdf")</f>
        <v>https://transparencia.cidesi.mx/comprobantes/2021/CE2100019 /C1OVICP 160628_OVI800131GQ6.pdf</v>
      </c>
      <c r="AN1352" t="str">
        <f>HYPERLINK("https://transparencia.cidesi.mx/comprobantes/2021/CE2100019 /C1OVICP 160628_OVI800131GQ6.pdf")</f>
        <v>https://transparencia.cidesi.mx/comprobantes/2021/CE2100019 /C1OVICP 160628_OVI800131GQ6.pdf</v>
      </c>
      <c r="AO1352" t="str">
        <f>HYPERLINK("https://transparencia.cidesi.mx/comprobantes/2021/CE2100019 /C1OVICP 160628_OVI800131GQ6.xml")</f>
        <v>https://transparencia.cidesi.mx/comprobantes/2021/CE2100019 /C1OVICP 160628_OVI800131GQ6.xml</v>
      </c>
      <c r="AP1352" t="s">
        <v>2592</v>
      </c>
      <c r="AQ1352" t="s">
        <v>2593</v>
      </c>
      <c r="AR1352" t="s">
        <v>2594</v>
      </c>
      <c r="AS1352" t="s">
        <v>2595</v>
      </c>
      <c r="AT1352" s="1">
        <v>44431</v>
      </c>
      <c r="AU1352" s="1">
        <v>44431</v>
      </c>
    </row>
    <row r="1353" spans="1:47" x14ac:dyDescent="0.3">
      <c r="A1353" t="s">
        <v>47</v>
      </c>
      <c r="B1353" t="s">
        <v>48</v>
      </c>
      <c r="C1353" t="s">
        <v>2058</v>
      </c>
      <c r="D1353">
        <v>100523</v>
      </c>
      <c r="E1353" t="s">
        <v>2572</v>
      </c>
      <c r="F1353" t="s">
        <v>83</v>
      </c>
      <c r="G1353" t="s">
        <v>2573</v>
      </c>
      <c r="H1353" t="s">
        <v>2596</v>
      </c>
      <c r="I1353" t="s">
        <v>54</v>
      </c>
      <c r="J1353" t="s">
        <v>2597</v>
      </c>
      <c r="K1353" t="s">
        <v>56</v>
      </c>
      <c r="L1353">
        <v>0</v>
      </c>
      <c r="M1353" t="s">
        <v>73</v>
      </c>
      <c r="N1353">
        <v>0</v>
      </c>
      <c r="O1353" t="s">
        <v>58</v>
      </c>
      <c r="P1353" t="s">
        <v>2064</v>
      </c>
      <c r="Q1353" t="s">
        <v>2065</v>
      </c>
      <c r="R1353" t="s">
        <v>2597</v>
      </c>
      <c r="S1353" s="1">
        <v>44442</v>
      </c>
      <c r="T1353" s="1">
        <v>44442</v>
      </c>
      <c r="U1353">
        <v>37501</v>
      </c>
      <c r="V1353" t="s">
        <v>61</v>
      </c>
      <c r="W1353" t="s">
        <v>2598</v>
      </c>
      <c r="X1353" s="1">
        <v>44447</v>
      </c>
      <c r="Y1353" t="s">
        <v>207</v>
      </c>
      <c r="Z1353">
        <v>156.72</v>
      </c>
      <c r="AA1353">
        <v>16</v>
      </c>
      <c r="AB1353">
        <v>25.08</v>
      </c>
      <c r="AC1353">
        <v>19</v>
      </c>
      <c r="AD1353">
        <v>200.8</v>
      </c>
      <c r="AE1353">
        <v>257.3</v>
      </c>
      <c r="AF1353">
        <v>545</v>
      </c>
      <c r="AG1353" t="s">
        <v>2577</v>
      </c>
      <c r="AH1353" t="s">
        <v>65</v>
      </c>
      <c r="AI1353" t="s">
        <v>65</v>
      </c>
      <c r="AJ1353" t="s">
        <v>66</v>
      </c>
      <c r="AK1353" t="s">
        <v>66</v>
      </c>
      <c r="AL1353" t="s">
        <v>66</v>
      </c>
      <c r="AM1353" s="2" t="str">
        <f>HYPERLINK("https://transparencia.cidesi.mx/comprobantes/2021/CE2100022 /C1OVIIL 65324_OVI800131GQ6.pdf")</f>
        <v>https://transparencia.cidesi.mx/comprobantes/2021/CE2100022 /C1OVIIL 65324_OVI800131GQ6.pdf</v>
      </c>
      <c r="AN1353" t="str">
        <f>HYPERLINK("https://transparencia.cidesi.mx/comprobantes/2021/CE2100022 /C1OVIIL 65324_OVI800131GQ6.pdf")</f>
        <v>https://transparencia.cidesi.mx/comprobantes/2021/CE2100022 /C1OVIIL 65324_OVI800131GQ6.pdf</v>
      </c>
      <c r="AO1353" t="str">
        <f>HYPERLINK("https://transparencia.cidesi.mx/comprobantes/2021/CE2100022 /C1OVIIL 65324_OVI800131GQ6.xml")</f>
        <v>https://transparencia.cidesi.mx/comprobantes/2021/CE2100022 /C1OVIIL 65324_OVI800131GQ6.xml</v>
      </c>
      <c r="AP1353" t="s">
        <v>2599</v>
      </c>
      <c r="AQ1353" t="s">
        <v>2600</v>
      </c>
      <c r="AR1353" t="s">
        <v>2601</v>
      </c>
      <c r="AS1353" t="s">
        <v>2581</v>
      </c>
      <c r="AT1353" s="1">
        <v>44448</v>
      </c>
      <c r="AU1353" t="s">
        <v>73</v>
      </c>
    </row>
    <row r="1354" spans="1:47" x14ac:dyDescent="0.3">
      <c r="A1354" t="s">
        <v>47</v>
      </c>
      <c r="B1354" t="s">
        <v>48</v>
      </c>
      <c r="C1354" t="s">
        <v>2058</v>
      </c>
      <c r="D1354">
        <v>100523</v>
      </c>
      <c r="E1354" t="s">
        <v>2572</v>
      </c>
      <c r="F1354" t="s">
        <v>83</v>
      </c>
      <c r="G1354" t="s">
        <v>2573</v>
      </c>
      <c r="H1354" t="s">
        <v>2596</v>
      </c>
      <c r="I1354" t="s">
        <v>54</v>
      </c>
      <c r="J1354" t="s">
        <v>2597</v>
      </c>
      <c r="K1354" t="s">
        <v>56</v>
      </c>
      <c r="L1354">
        <v>0</v>
      </c>
      <c r="M1354" t="s">
        <v>73</v>
      </c>
      <c r="N1354">
        <v>0</v>
      </c>
      <c r="O1354" t="s">
        <v>58</v>
      </c>
      <c r="P1354" t="s">
        <v>2064</v>
      </c>
      <c r="Q1354" t="s">
        <v>2065</v>
      </c>
      <c r="R1354" t="s">
        <v>2597</v>
      </c>
      <c r="S1354" s="1">
        <v>44442</v>
      </c>
      <c r="T1354" s="1">
        <v>44442</v>
      </c>
      <c r="U1354">
        <v>37501</v>
      </c>
      <c r="V1354" t="s">
        <v>61</v>
      </c>
      <c r="W1354" t="s">
        <v>2598</v>
      </c>
      <c r="X1354" s="1">
        <v>44447</v>
      </c>
      <c r="Y1354" t="s">
        <v>207</v>
      </c>
      <c r="Z1354">
        <v>51.29</v>
      </c>
      <c r="AA1354">
        <v>16</v>
      </c>
      <c r="AB1354">
        <v>2.21</v>
      </c>
      <c r="AC1354">
        <v>3</v>
      </c>
      <c r="AD1354">
        <v>56.5</v>
      </c>
      <c r="AE1354">
        <v>257.3</v>
      </c>
      <c r="AF1354">
        <v>545</v>
      </c>
      <c r="AG1354" t="s">
        <v>2577</v>
      </c>
      <c r="AH1354" t="s">
        <v>65</v>
      </c>
      <c r="AI1354" t="s">
        <v>65</v>
      </c>
      <c r="AJ1354" t="s">
        <v>66</v>
      </c>
      <c r="AK1354" t="s">
        <v>66</v>
      </c>
      <c r="AL1354" t="s">
        <v>66</v>
      </c>
      <c r="AM1354" s="2" t="str">
        <f>HYPERLINK("https://transparencia.cidesi.mx/comprobantes/2021/CE2100022 /C2344216397_CCO8605231N4.pdf")</f>
        <v>https://transparencia.cidesi.mx/comprobantes/2021/CE2100022 /C2344216397_CCO8605231N4.pdf</v>
      </c>
      <c r="AN1354" t="str">
        <f>HYPERLINK("https://transparencia.cidesi.mx/comprobantes/2021/CE2100022 /C2344216397_CCO8605231N4.pdf")</f>
        <v>https://transparencia.cidesi.mx/comprobantes/2021/CE2100022 /C2344216397_CCO8605231N4.pdf</v>
      </c>
      <c r="AO1354" t="str">
        <f>HYPERLINK("https://transparencia.cidesi.mx/comprobantes/2021/CE2100022 /C2344216397_CCO8605231N4.xml")</f>
        <v>https://transparencia.cidesi.mx/comprobantes/2021/CE2100022 /C2344216397_CCO8605231N4.xml</v>
      </c>
      <c r="AP1354" t="s">
        <v>2599</v>
      </c>
      <c r="AQ1354" t="s">
        <v>2600</v>
      </c>
      <c r="AR1354" t="s">
        <v>2601</v>
      </c>
      <c r="AS1354" t="s">
        <v>2581</v>
      </c>
      <c r="AT1354" s="1">
        <v>44448</v>
      </c>
      <c r="AU1354" t="s">
        <v>73</v>
      </c>
    </row>
    <row r="1355" spans="1:47" x14ac:dyDescent="0.3">
      <c r="A1355" t="s">
        <v>47</v>
      </c>
      <c r="B1355" t="s">
        <v>1675</v>
      </c>
      <c r="C1355" t="s">
        <v>1676</v>
      </c>
      <c r="D1355">
        <v>100551</v>
      </c>
      <c r="E1355" t="s">
        <v>2602</v>
      </c>
      <c r="F1355" t="s">
        <v>692</v>
      </c>
      <c r="G1355" t="s">
        <v>723</v>
      </c>
      <c r="H1355" t="s">
        <v>2603</v>
      </c>
      <c r="I1355" t="s">
        <v>54</v>
      </c>
      <c r="J1355" t="s">
        <v>2604</v>
      </c>
      <c r="K1355" t="s">
        <v>56</v>
      </c>
      <c r="L1355">
        <v>0</v>
      </c>
      <c r="M1355" t="s">
        <v>73</v>
      </c>
      <c r="N1355">
        <v>0</v>
      </c>
      <c r="O1355" t="s">
        <v>58</v>
      </c>
      <c r="P1355" t="s">
        <v>59</v>
      </c>
      <c r="Q1355" t="s">
        <v>378</v>
      </c>
      <c r="R1355" t="s">
        <v>2604</v>
      </c>
      <c r="S1355" s="1">
        <v>44440</v>
      </c>
      <c r="T1355" s="1">
        <v>44440</v>
      </c>
      <c r="U1355">
        <v>37501</v>
      </c>
      <c r="V1355" t="s">
        <v>61</v>
      </c>
      <c r="W1355" t="s">
        <v>2605</v>
      </c>
      <c r="X1355" s="1">
        <v>44445</v>
      </c>
      <c r="Y1355" t="s">
        <v>63</v>
      </c>
      <c r="Z1355">
        <v>0.01</v>
      </c>
      <c r="AA1355">
        <v>0</v>
      </c>
      <c r="AB1355">
        <v>0</v>
      </c>
      <c r="AC1355">
        <v>0</v>
      </c>
      <c r="AD1355">
        <v>0.01</v>
      </c>
      <c r="AE1355">
        <v>0.01</v>
      </c>
      <c r="AF1355">
        <v>545</v>
      </c>
      <c r="AG1355" t="s">
        <v>2606</v>
      </c>
      <c r="AH1355" t="s">
        <v>66</v>
      </c>
      <c r="AI1355" t="s">
        <v>66</v>
      </c>
      <c r="AJ1355" t="s">
        <v>66</v>
      </c>
      <c r="AK1355" t="s">
        <v>66</v>
      </c>
      <c r="AL1355" t="s">
        <v>66</v>
      </c>
      <c r="AM1355" s="2" t="s">
        <v>73</v>
      </c>
      <c r="AN1355" t="s">
        <v>73</v>
      </c>
      <c r="AO1355" t="s">
        <v>73</v>
      </c>
      <c r="AP1355" t="s">
        <v>2607</v>
      </c>
      <c r="AQ1355" t="s">
        <v>2608</v>
      </c>
      <c r="AR1355" t="s">
        <v>2609</v>
      </c>
      <c r="AS1355" t="s">
        <v>2610</v>
      </c>
      <c r="AT1355" s="1">
        <v>44446</v>
      </c>
      <c r="AU1355" s="1">
        <v>44447</v>
      </c>
    </row>
    <row r="1356" spans="1:47" x14ac:dyDescent="0.3">
      <c r="A1356" t="s">
        <v>47</v>
      </c>
      <c r="B1356" t="s">
        <v>48</v>
      </c>
      <c r="C1356" t="s">
        <v>2058</v>
      </c>
      <c r="D1356">
        <v>100561</v>
      </c>
      <c r="E1356" t="s">
        <v>302</v>
      </c>
      <c r="F1356" t="s">
        <v>351</v>
      </c>
      <c r="G1356" t="s">
        <v>2611</v>
      </c>
      <c r="H1356" t="s">
        <v>2612</v>
      </c>
      <c r="I1356" t="s">
        <v>54</v>
      </c>
      <c r="J1356" t="s">
        <v>2613</v>
      </c>
      <c r="K1356" t="s">
        <v>56</v>
      </c>
      <c r="L1356">
        <v>0</v>
      </c>
      <c r="M1356" t="s">
        <v>73</v>
      </c>
      <c r="N1356">
        <v>0</v>
      </c>
      <c r="O1356" t="s">
        <v>58</v>
      </c>
      <c r="P1356" t="s">
        <v>2064</v>
      </c>
      <c r="Q1356" t="s">
        <v>1432</v>
      </c>
      <c r="R1356" t="s">
        <v>2613</v>
      </c>
      <c r="S1356" s="1">
        <v>44421</v>
      </c>
      <c r="T1356" s="1">
        <v>44422</v>
      </c>
      <c r="U1356">
        <v>37501</v>
      </c>
      <c r="V1356" t="s">
        <v>61</v>
      </c>
      <c r="W1356" t="s">
        <v>2614</v>
      </c>
      <c r="X1356" s="1">
        <v>44439</v>
      </c>
      <c r="Y1356" t="s">
        <v>63</v>
      </c>
      <c r="Z1356">
        <v>146.55000000000001</v>
      </c>
      <c r="AA1356">
        <v>16</v>
      </c>
      <c r="AB1356">
        <v>23.45</v>
      </c>
      <c r="AC1356">
        <v>0</v>
      </c>
      <c r="AD1356">
        <v>170</v>
      </c>
      <c r="AE1356">
        <v>1069.99</v>
      </c>
      <c r="AF1356">
        <v>1636</v>
      </c>
      <c r="AG1356" t="s">
        <v>2615</v>
      </c>
      <c r="AH1356" t="s">
        <v>66</v>
      </c>
      <c r="AI1356" t="s">
        <v>65</v>
      </c>
      <c r="AJ1356" t="s">
        <v>66</v>
      </c>
      <c r="AK1356" t="s">
        <v>66</v>
      </c>
      <c r="AL1356" t="s">
        <v>66</v>
      </c>
      <c r="AM1356" s="2" t="str">
        <f>HYPERLINK("https://transparencia.cidesi.mx/comprobantes/2021/CE2100021 /C11638212 DLI931201MI9.pdf")</f>
        <v>https://transparencia.cidesi.mx/comprobantes/2021/CE2100021 /C11638212 DLI931201MI9.pdf</v>
      </c>
      <c r="AN1356" t="str">
        <f>HYPERLINK("https://transparencia.cidesi.mx/comprobantes/2021/CE2100021 /C11638212 DLI931201MI9.pdf")</f>
        <v>https://transparencia.cidesi.mx/comprobantes/2021/CE2100021 /C11638212 DLI931201MI9.pdf</v>
      </c>
      <c r="AO1356" t="str">
        <f>HYPERLINK("https://transparencia.cidesi.mx/comprobantes/2021/CE2100021 /C11638212 DLI931201MI9.xml")</f>
        <v>https://transparencia.cidesi.mx/comprobantes/2021/CE2100021 /C11638212 DLI931201MI9.xml</v>
      </c>
      <c r="AP1356" t="s">
        <v>2616</v>
      </c>
      <c r="AQ1356" t="s">
        <v>2617</v>
      </c>
      <c r="AR1356" t="s">
        <v>2618</v>
      </c>
      <c r="AS1356" t="s">
        <v>2619</v>
      </c>
      <c r="AT1356" s="1">
        <v>44439</v>
      </c>
      <c r="AU1356" s="1">
        <v>44442</v>
      </c>
    </row>
    <row r="1357" spans="1:47" x14ac:dyDescent="0.3">
      <c r="A1357" t="s">
        <v>47</v>
      </c>
      <c r="B1357" t="s">
        <v>48</v>
      </c>
      <c r="C1357" t="s">
        <v>2058</v>
      </c>
      <c r="D1357">
        <v>100561</v>
      </c>
      <c r="E1357" t="s">
        <v>302</v>
      </c>
      <c r="F1357" t="s">
        <v>351</v>
      </c>
      <c r="G1357" t="s">
        <v>2611</v>
      </c>
      <c r="H1357" t="s">
        <v>2612</v>
      </c>
      <c r="I1357" t="s">
        <v>54</v>
      </c>
      <c r="J1357" t="s">
        <v>2613</v>
      </c>
      <c r="K1357" t="s">
        <v>56</v>
      </c>
      <c r="L1357">
        <v>0</v>
      </c>
      <c r="M1357" t="s">
        <v>73</v>
      </c>
      <c r="N1357">
        <v>0</v>
      </c>
      <c r="O1357" t="s">
        <v>58</v>
      </c>
      <c r="P1357" t="s">
        <v>2064</v>
      </c>
      <c r="Q1357" t="s">
        <v>1432</v>
      </c>
      <c r="R1357" t="s">
        <v>2613</v>
      </c>
      <c r="S1357" s="1">
        <v>44421</v>
      </c>
      <c r="T1357" s="1">
        <v>44422</v>
      </c>
      <c r="U1357">
        <v>37501</v>
      </c>
      <c r="V1357" t="s">
        <v>61</v>
      </c>
      <c r="W1357" t="s">
        <v>2614</v>
      </c>
      <c r="X1357" s="1">
        <v>44439</v>
      </c>
      <c r="Y1357" t="s">
        <v>63</v>
      </c>
      <c r="Z1357">
        <v>779.7</v>
      </c>
      <c r="AA1357">
        <v>16</v>
      </c>
      <c r="AB1357">
        <v>120.29</v>
      </c>
      <c r="AC1357">
        <v>0</v>
      </c>
      <c r="AD1357">
        <v>899.99</v>
      </c>
      <c r="AE1357">
        <v>1069.99</v>
      </c>
      <c r="AF1357">
        <v>1636</v>
      </c>
      <c r="AG1357" t="s">
        <v>2615</v>
      </c>
      <c r="AH1357" t="s">
        <v>66</v>
      </c>
      <c r="AI1357" t="s">
        <v>65</v>
      </c>
      <c r="AJ1357" t="s">
        <v>66</v>
      </c>
      <c r="AK1357" t="s">
        <v>66</v>
      </c>
      <c r="AL1357" t="s">
        <v>66</v>
      </c>
      <c r="AM1357" s="2" t="str">
        <f>HYPERLINK("https://transparencia.cidesi.mx/comprobantes/2021/CE2100021 /C220469 ROM120911HU5.pdf")</f>
        <v>https://transparencia.cidesi.mx/comprobantes/2021/CE2100021 /C220469 ROM120911HU5.pdf</v>
      </c>
      <c r="AN1357" t="str">
        <f>HYPERLINK("https://transparencia.cidesi.mx/comprobantes/2021/CE2100021 /C220469 ROM120911HU5.pdf")</f>
        <v>https://transparencia.cidesi.mx/comprobantes/2021/CE2100021 /C220469 ROM120911HU5.pdf</v>
      </c>
      <c r="AO1357" t="str">
        <f>HYPERLINK("https://transparencia.cidesi.mx/comprobantes/2021/CE2100021 /C220469 ROM120911HU5.xml")</f>
        <v>https://transparencia.cidesi.mx/comprobantes/2021/CE2100021 /C220469 ROM120911HU5.xml</v>
      </c>
      <c r="AP1357" t="s">
        <v>2616</v>
      </c>
      <c r="AQ1357" t="s">
        <v>2617</v>
      </c>
      <c r="AR1357" t="s">
        <v>2618</v>
      </c>
      <c r="AS1357" t="s">
        <v>2619</v>
      </c>
      <c r="AT1357" s="1">
        <v>44439</v>
      </c>
      <c r="AU1357" s="1">
        <v>44442</v>
      </c>
    </row>
    <row r="1358" spans="1:47" x14ac:dyDescent="0.3">
      <c r="A1358" t="s">
        <v>47</v>
      </c>
      <c r="B1358" t="s">
        <v>48</v>
      </c>
      <c r="C1358" t="s">
        <v>2058</v>
      </c>
      <c r="D1358">
        <v>100561</v>
      </c>
      <c r="E1358" t="s">
        <v>302</v>
      </c>
      <c r="F1358" t="s">
        <v>351</v>
      </c>
      <c r="G1358" t="s">
        <v>2611</v>
      </c>
      <c r="H1358" t="s">
        <v>2620</v>
      </c>
      <c r="I1358" t="s">
        <v>54</v>
      </c>
      <c r="J1358" t="s">
        <v>2621</v>
      </c>
      <c r="K1358" t="s">
        <v>56</v>
      </c>
      <c r="L1358">
        <v>0</v>
      </c>
      <c r="M1358" t="s">
        <v>73</v>
      </c>
      <c r="N1358">
        <v>0</v>
      </c>
      <c r="O1358" t="s">
        <v>58</v>
      </c>
      <c r="P1358" t="s">
        <v>2064</v>
      </c>
      <c r="Q1358" t="s">
        <v>60</v>
      </c>
      <c r="R1358" t="s">
        <v>2621</v>
      </c>
      <c r="S1358" s="1">
        <v>44433</v>
      </c>
      <c r="T1358" s="1">
        <v>44433</v>
      </c>
      <c r="U1358">
        <v>37501</v>
      </c>
      <c r="V1358" t="s">
        <v>61</v>
      </c>
      <c r="W1358" t="s">
        <v>2622</v>
      </c>
      <c r="X1358" s="1">
        <v>44438</v>
      </c>
      <c r="Y1358" t="s">
        <v>63</v>
      </c>
      <c r="Z1358">
        <v>185.34</v>
      </c>
      <c r="AA1358">
        <v>16</v>
      </c>
      <c r="AB1358">
        <v>29.65</v>
      </c>
      <c r="AC1358">
        <v>0</v>
      </c>
      <c r="AD1358">
        <v>214.99</v>
      </c>
      <c r="AE1358">
        <v>214.99</v>
      </c>
      <c r="AF1358">
        <v>545</v>
      </c>
      <c r="AG1358" t="s">
        <v>2615</v>
      </c>
      <c r="AH1358" t="s">
        <v>66</v>
      </c>
      <c r="AI1358" t="s">
        <v>65</v>
      </c>
      <c r="AJ1358" t="s">
        <v>66</v>
      </c>
      <c r="AK1358" t="s">
        <v>66</v>
      </c>
      <c r="AL1358" t="s">
        <v>66</v>
      </c>
      <c r="AM1358" s="2" t="str">
        <f>HYPERLINK("https://transparencia.cidesi.mx/comprobantes/2021/CE2100020 /C1A1787.pdf")</f>
        <v>https://transparencia.cidesi.mx/comprobantes/2021/CE2100020 /C1A1787.pdf</v>
      </c>
      <c r="AN1358" t="str">
        <f>HYPERLINK("https://transparencia.cidesi.mx/comprobantes/2021/CE2100020 /C1A1787.pdf")</f>
        <v>https://transparencia.cidesi.mx/comprobantes/2021/CE2100020 /C1A1787.pdf</v>
      </c>
      <c r="AO1358" t="str">
        <f>HYPERLINK("https://transparencia.cidesi.mx/comprobantes/2021/CE2100020 /C1A1787.xml")</f>
        <v>https://transparencia.cidesi.mx/comprobantes/2021/CE2100020 /C1A1787.xml</v>
      </c>
      <c r="AP1358" t="s">
        <v>2623</v>
      </c>
      <c r="AQ1358" t="s">
        <v>2624</v>
      </c>
      <c r="AR1358" t="s">
        <v>2625</v>
      </c>
      <c r="AS1358" t="s">
        <v>2626</v>
      </c>
      <c r="AT1358" s="1">
        <v>44439</v>
      </c>
      <c r="AU1358" s="1">
        <v>44442</v>
      </c>
    </row>
    <row r="1359" spans="1:47" x14ac:dyDescent="0.3">
      <c r="A1359" t="s">
        <v>79</v>
      </c>
      <c r="B1359" t="s">
        <v>80</v>
      </c>
      <c r="C1359" t="s">
        <v>81</v>
      </c>
      <c r="D1359">
        <v>100708</v>
      </c>
      <c r="E1359" t="s">
        <v>2627</v>
      </c>
      <c r="F1359" t="s">
        <v>2628</v>
      </c>
      <c r="G1359" t="s">
        <v>2629</v>
      </c>
      <c r="H1359" t="s">
        <v>2630</v>
      </c>
      <c r="I1359" t="s">
        <v>54</v>
      </c>
      <c r="J1359" t="s">
        <v>2631</v>
      </c>
      <c r="K1359" t="s">
        <v>56</v>
      </c>
      <c r="L1359">
        <v>0</v>
      </c>
      <c r="M1359" t="s">
        <v>73</v>
      </c>
      <c r="N1359">
        <v>0</v>
      </c>
      <c r="O1359" t="s">
        <v>58</v>
      </c>
      <c r="P1359" t="s">
        <v>59</v>
      </c>
      <c r="Q1359" t="s">
        <v>421</v>
      </c>
      <c r="R1359" t="s">
        <v>2631</v>
      </c>
      <c r="S1359" s="1">
        <v>44378</v>
      </c>
      <c r="T1359" s="1">
        <v>44379</v>
      </c>
      <c r="U1359">
        <v>37501</v>
      </c>
      <c r="V1359" t="s">
        <v>61</v>
      </c>
      <c r="W1359" t="s">
        <v>2632</v>
      </c>
      <c r="X1359" s="1">
        <v>44438</v>
      </c>
      <c r="Y1359" t="s">
        <v>63</v>
      </c>
      <c r="Z1359">
        <v>314.64999999999998</v>
      </c>
      <c r="AA1359">
        <v>16</v>
      </c>
      <c r="AB1359">
        <v>8.35</v>
      </c>
      <c r="AC1359">
        <v>0</v>
      </c>
      <c r="AD1359">
        <v>323</v>
      </c>
      <c r="AE1359">
        <v>323</v>
      </c>
      <c r="AF1359">
        <v>1636</v>
      </c>
      <c r="AG1359" t="s">
        <v>2633</v>
      </c>
      <c r="AH1359" t="s">
        <v>65</v>
      </c>
      <c r="AI1359" t="s">
        <v>66</v>
      </c>
      <c r="AJ1359" t="s">
        <v>66</v>
      </c>
      <c r="AK1359" t="s">
        <v>66</v>
      </c>
      <c r="AL1359" t="s">
        <v>66</v>
      </c>
      <c r="AM1359" s="2" t="s">
        <v>73</v>
      </c>
      <c r="AN1359" t="s">
        <v>73</v>
      </c>
      <c r="AO1359" t="s">
        <v>73</v>
      </c>
      <c r="AP1359" t="s">
        <v>2634</v>
      </c>
      <c r="AQ1359" t="s">
        <v>2634</v>
      </c>
      <c r="AR1359" t="s">
        <v>2635</v>
      </c>
      <c r="AS1359" t="s">
        <v>2636</v>
      </c>
      <c r="AT1359" s="1">
        <v>44441</v>
      </c>
      <c r="AU1359" s="1">
        <v>44447</v>
      </c>
    </row>
    <row r="1360" spans="1:47" x14ac:dyDescent="0.3">
      <c r="A1360" t="s">
        <v>79</v>
      </c>
      <c r="B1360" t="s">
        <v>80</v>
      </c>
      <c r="C1360" t="s">
        <v>81</v>
      </c>
      <c r="D1360">
        <v>100708</v>
      </c>
      <c r="E1360" t="s">
        <v>2627</v>
      </c>
      <c r="F1360" t="s">
        <v>2628</v>
      </c>
      <c r="G1360" t="s">
        <v>2629</v>
      </c>
      <c r="H1360" t="s">
        <v>2637</v>
      </c>
      <c r="I1360" t="s">
        <v>54</v>
      </c>
      <c r="J1360" t="s">
        <v>2638</v>
      </c>
      <c r="K1360" t="s">
        <v>56</v>
      </c>
      <c r="L1360">
        <v>0</v>
      </c>
      <c r="M1360" t="s">
        <v>73</v>
      </c>
      <c r="N1360">
        <v>0</v>
      </c>
      <c r="O1360" t="s">
        <v>58</v>
      </c>
      <c r="P1360" t="s">
        <v>59</v>
      </c>
      <c r="Q1360" t="s">
        <v>108</v>
      </c>
      <c r="R1360" t="s">
        <v>2638</v>
      </c>
      <c r="S1360" s="1">
        <v>44383</v>
      </c>
      <c r="T1360" s="1">
        <v>44383</v>
      </c>
      <c r="U1360">
        <v>37501</v>
      </c>
      <c r="V1360" t="s">
        <v>61</v>
      </c>
      <c r="W1360" t="s">
        <v>2639</v>
      </c>
      <c r="X1360" s="1">
        <v>44384</v>
      </c>
      <c r="Y1360" t="s">
        <v>63</v>
      </c>
      <c r="Z1360">
        <v>529</v>
      </c>
      <c r="AA1360">
        <v>16</v>
      </c>
      <c r="AB1360">
        <v>0.1</v>
      </c>
      <c r="AC1360">
        <v>0</v>
      </c>
      <c r="AD1360">
        <v>529.1</v>
      </c>
      <c r="AE1360">
        <v>529.1</v>
      </c>
      <c r="AF1360">
        <v>545</v>
      </c>
      <c r="AG1360" t="s">
        <v>2633</v>
      </c>
      <c r="AH1360" t="s">
        <v>65</v>
      </c>
      <c r="AI1360" t="s">
        <v>65</v>
      </c>
      <c r="AJ1360" t="s">
        <v>66</v>
      </c>
      <c r="AK1360" t="s">
        <v>66</v>
      </c>
      <c r="AL1360" t="s">
        <v>66</v>
      </c>
      <c r="AM1360" s="2" t="str">
        <f>HYPERLINK("https://transparencia.cidesi.mx/comprobantes/2021/CQ2100478 /C1ALIMENTOS_06_07_21_PDF_21C072316.pdf")</f>
        <v>https://transparencia.cidesi.mx/comprobantes/2021/CQ2100478 /C1ALIMENTOS_06_07_21_PDF_21C072316.pdf</v>
      </c>
      <c r="AN1360" t="str">
        <f>HYPERLINK("https://transparencia.cidesi.mx/comprobantes/2021/CQ2100478 /C1ALIMENTOS_06_07_21_PDF_21C072316.pdf")</f>
        <v>https://transparencia.cidesi.mx/comprobantes/2021/CQ2100478 /C1ALIMENTOS_06_07_21_PDF_21C072316.pdf</v>
      </c>
      <c r="AO1360" t="str">
        <f>HYPERLINK("https://transparencia.cidesi.mx/comprobantes/2021/CQ2100478 /C1ALIMENTOS_06_07_21_XML_21C072316.xml")</f>
        <v>https://transparencia.cidesi.mx/comprobantes/2021/CQ2100478 /C1ALIMENTOS_06_07_21_XML_21C072316.xml</v>
      </c>
      <c r="AP1360" t="s">
        <v>2640</v>
      </c>
      <c r="AQ1360" t="s">
        <v>2640</v>
      </c>
      <c r="AR1360" t="s">
        <v>2641</v>
      </c>
      <c r="AS1360" t="s">
        <v>2636</v>
      </c>
      <c r="AT1360" s="1">
        <v>44390</v>
      </c>
      <c r="AU1360" s="1">
        <v>44396</v>
      </c>
    </row>
    <row r="1361" spans="1:47" x14ac:dyDescent="0.3">
      <c r="A1361" t="s">
        <v>79</v>
      </c>
      <c r="B1361" t="s">
        <v>80</v>
      </c>
      <c r="C1361" t="s">
        <v>81</v>
      </c>
      <c r="D1361">
        <v>100708</v>
      </c>
      <c r="E1361" t="s">
        <v>2627</v>
      </c>
      <c r="F1361" t="s">
        <v>2628</v>
      </c>
      <c r="G1361" t="s">
        <v>2629</v>
      </c>
      <c r="H1361" t="s">
        <v>2642</v>
      </c>
      <c r="I1361" t="s">
        <v>54</v>
      </c>
      <c r="J1361" t="s">
        <v>2643</v>
      </c>
      <c r="K1361" t="s">
        <v>56</v>
      </c>
      <c r="L1361">
        <v>0</v>
      </c>
      <c r="M1361" t="s">
        <v>73</v>
      </c>
      <c r="N1361">
        <v>0</v>
      </c>
      <c r="O1361" t="s">
        <v>58</v>
      </c>
      <c r="P1361" t="s">
        <v>59</v>
      </c>
      <c r="Q1361" t="s">
        <v>60</v>
      </c>
      <c r="R1361" t="s">
        <v>2643</v>
      </c>
      <c r="S1361" s="1">
        <v>44384</v>
      </c>
      <c r="T1361" s="1">
        <v>44384</v>
      </c>
      <c r="U1361">
        <v>37501</v>
      </c>
      <c r="V1361" t="s">
        <v>61</v>
      </c>
      <c r="W1361" t="s">
        <v>2644</v>
      </c>
      <c r="X1361" s="1">
        <v>44385</v>
      </c>
      <c r="Y1361" t="s">
        <v>63</v>
      </c>
      <c r="Z1361">
        <v>508.34</v>
      </c>
      <c r="AA1361">
        <v>16</v>
      </c>
      <c r="AB1361">
        <v>25.66</v>
      </c>
      <c r="AC1361">
        <v>0</v>
      </c>
      <c r="AD1361">
        <v>534</v>
      </c>
      <c r="AE1361">
        <v>534</v>
      </c>
      <c r="AF1361">
        <v>545</v>
      </c>
      <c r="AG1361" t="s">
        <v>2633</v>
      </c>
      <c r="AH1361" t="s">
        <v>65</v>
      </c>
      <c r="AI1361" t="s">
        <v>65</v>
      </c>
      <c r="AJ1361" t="s">
        <v>66</v>
      </c>
      <c r="AK1361" t="s">
        <v>66</v>
      </c>
      <c r="AL1361" t="s">
        <v>66</v>
      </c>
      <c r="AM1361" s="2" t="str">
        <f>HYPERLINK("https://transparencia.cidesi.mx/comprobantes/2021/CQ2100494 /C1ALIMENTOS_07_07_21_PDF_21C072419.pdf")</f>
        <v>https://transparencia.cidesi.mx/comprobantes/2021/CQ2100494 /C1ALIMENTOS_07_07_21_PDF_21C072419.pdf</v>
      </c>
      <c r="AN1361" t="str">
        <f>HYPERLINK("https://transparencia.cidesi.mx/comprobantes/2021/CQ2100494 /C1ALIMENTOS_07_07_21_PDF_21C072419.pdf")</f>
        <v>https://transparencia.cidesi.mx/comprobantes/2021/CQ2100494 /C1ALIMENTOS_07_07_21_PDF_21C072419.pdf</v>
      </c>
      <c r="AO1361" t="str">
        <f>HYPERLINK("https://transparencia.cidesi.mx/comprobantes/2021/CQ2100494 /C1ALIMENTOS_07_07_21_XML_21C072419.xml")</f>
        <v>https://transparencia.cidesi.mx/comprobantes/2021/CQ2100494 /C1ALIMENTOS_07_07_21_XML_21C072419.xml</v>
      </c>
      <c r="AP1361" t="s">
        <v>2643</v>
      </c>
      <c r="AQ1361" t="s">
        <v>2643</v>
      </c>
      <c r="AR1361" t="s">
        <v>2641</v>
      </c>
      <c r="AS1361" t="s">
        <v>2636</v>
      </c>
      <c r="AT1361" s="1">
        <v>44390</v>
      </c>
      <c r="AU1361" s="1">
        <v>44396</v>
      </c>
    </row>
    <row r="1362" spans="1:47" x14ac:dyDescent="0.3">
      <c r="A1362" t="s">
        <v>79</v>
      </c>
      <c r="B1362" t="s">
        <v>80</v>
      </c>
      <c r="C1362" t="s">
        <v>81</v>
      </c>
      <c r="D1362">
        <v>100708</v>
      </c>
      <c r="E1362" t="s">
        <v>2627</v>
      </c>
      <c r="F1362" t="s">
        <v>2628</v>
      </c>
      <c r="G1362" t="s">
        <v>2629</v>
      </c>
      <c r="H1362" t="s">
        <v>2645</v>
      </c>
      <c r="I1362" t="s">
        <v>54</v>
      </c>
      <c r="J1362" t="s">
        <v>2646</v>
      </c>
      <c r="K1362" t="s">
        <v>56</v>
      </c>
      <c r="L1362">
        <v>0</v>
      </c>
      <c r="M1362" t="s">
        <v>73</v>
      </c>
      <c r="N1362">
        <v>0</v>
      </c>
      <c r="O1362" t="s">
        <v>58</v>
      </c>
      <c r="P1362" t="s">
        <v>59</v>
      </c>
      <c r="Q1362" t="s">
        <v>60</v>
      </c>
      <c r="R1362" t="s">
        <v>2646</v>
      </c>
      <c r="S1362" s="1">
        <v>44385</v>
      </c>
      <c r="T1362" s="1">
        <v>44385</v>
      </c>
      <c r="U1362">
        <v>37501</v>
      </c>
      <c r="V1362" t="s">
        <v>61</v>
      </c>
      <c r="W1362" t="s">
        <v>2647</v>
      </c>
      <c r="X1362" s="1">
        <v>44385</v>
      </c>
      <c r="Y1362" t="s">
        <v>63</v>
      </c>
      <c r="Z1362">
        <v>370.26</v>
      </c>
      <c r="AA1362">
        <v>16</v>
      </c>
      <c r="AB1362">
        <v>59.24</v>
      </c>
      <c r="AC1362">
        <v>43</v>
      </c>
      <c r="AD1362">
        <v>472.5</v>
      </c>
      <c r="AE1362">
        <v>527.5</v>
      </c>
      <c r="AF1362">
        <v>545</v>
      </c>
      <c r="AG1362" t="s">
        <v>2633</v>
      </c>
      <c r="AH1362" t="s">
        <v>65</v>
      </c>
      <c r="AI1362" t="s">
        <v>65</v>
      </c>
      <c r="AJ1362" t="s">
        <v>66</v>
      </c>
      <c r="AK1362" t="s">
        <v>66</v>
      </c>
      <c r="AL1362" t="s">
        <v>66</v>
      </c>
      <c r="AM1362" s="2" t="str">
        <f>HYPERLINK("https://transparencia.cidesi.mx/comprobantes/2021/CQ2100495 /C1LOSJAROCHOS_08_07_21_PDF_42c4f1e2-65c7-4fcd-8d46-187850feb1d7.pdf")</f>
        <v>https://transparencia.cidesi.mx/comprobantes/2021/CQ2100495 /C1LOSJAROCHOS_08_07_21_PDF_42c4f1e2-65c7-4fcd-8d46-187850feb1d7.pdf</v>
      </c>
      <c r="AN1362" t="str">
        <f>HYPERLINK("https://transparencia.cidesi.mx/comprobantes/2021/CQ2100495 /C1LOSJAROCHOS_08_07_21_PDF_42c4f1e2-65c7-4fcd-8d46-187850feb1d7.pdf")</f>
        <v>https://transparencia.cidesi.mx/comprobantes/2021/CQ2100495 /C1LOSJAROCHOS_08_07_21_PDF_42c4f1e2-65c7-4fcd-8d46-187850feb1d7.pdf</v>
      </c>
      <c r="AO1362" t="str">
        <f>HYPERLINK("https://transparencia.cidesi.mx/comprobantes/2021/CQ2100495 /C1LOSJAROCHOS_08_07_21_XML_42c4f1e2-65c7-4fcd-8d46-187850feb1d7.xml")</f>
        <v>https://transparencia.cidesi.mx/comprobantes/2021/CQ2100495 /C1LOSJAROCHOS_08_07_21_XML_42c4f1e2-65c7-4fcd-8d46-187850feb1d7.xml</v>
      </c>
      <c r="AP1362" t="s">
        <v>2648</v>
      </c>
      <c r="AQ1362" t="s">
        <v>2648</v>
      </c>
      <c r="AR1362" t="s">
        <v>2635</v>
      </c>
      <c r="AS1362" t="s">
        <v>2636</v>
      </c>
      <c r="AT1362" s="1">
        <v>44393</v>
      </c>
      <c r="AU1362" s="1">
        <v>44397</v>
      </c>
    </row>
    <row r="1363" spans="1:47" x14ac:dyDescent="0.3">
      <c r="A1363" t="s">
        <v>79</v>
      </c>
      <c r="B1363" t="s">
        <v>80</v>
      </c>
      <c r="C1363" t="s">
        <v>81</v>
      </c>
      <c r="D1363">
        <v>100708</v>
      </c>
      <c r="E1363" t="s">
        <v>2627</v>
      </c>
      <c r="F1363" t="s">
        <v>2628</v>
      </c>
      <c r="G1363" t="s">
        <v>2629</v>
      </c>
      <c r="H1363" t="s">
        <v>2645</v>
      </c>
      <c r="I1363" t="s">
        <v>54</v>
      </c>
      <c r="J1363" t="s">
        <v>2646</v>
      </c>
      <c r="K1363" t="s">
        <v>56</v>
      </c>
      <c r="L1363">
        <v>0</v>
      </c>
      <c r="M1363" t="s">
        <v>73</v>
      </c>
      <c r="N1363">
        <v>0</v>
      </c>
      <c r="O1363" t="s">
        <v>58</v>
      </c>
      <c r="P1363" t="s">
        <v>59</v>
      </c>
      <c r="Q1363" t="s">
        <v>60</v>
      </c>
      <c r="R1363" t="s">
        <v>2646</v>
      </c>
      <c r="S1363" s="1">
        <v>44385</v>
      </c>
      <c r="T1363" s="1">
        <v>44385</v>
      </c>
      <c r="U1363">
        <v>37501</v>
      </c>
      <c r="V1363" t="s">
        <v>1009</v>
      </c>
      <c r="W1363" t="s">
        <v>2647</v>
      </c>
      <c r="X1363" s="1">
        <v>44385</v>
      </c>
      <c r="Y1363" t="s">
        <v>63</v>
      </c>
      <c r="Z1363">
        <v>47.41</v>
      </c>
      <c r="AA1363">
        <v>16</v>
      </c>
      <c r="AB1363">
        <v>7.59</v>
      </c>
      <c r="AC1363">
        <v>0</v>
      </c>
      <c r="AD1363">
        <v>55</v>
      </c>
      <c r="AE1363">
        <v>527.5</v>
      </c>
      <c r="AF1363">
        <v>545</v>
      </c>
      <c r="AG1363" t="s">
        <v>2649</v>
      </c>
      <c r="AH1363" t="s">
        <v>66</v>
      </c>
      <c r="AI1363" t="s">
        <v>65</v>
      </c>
      <c r="AJ1363" t="s">
        <v>66</v>
      </c>
      <c r="AK1363" t="s">
        <v>66</v>
      </c>
      <c r="AL1363" t="s">
        <v>66</v>
      </c>
      <c r="AM1363" s="2" t="str">
        <f>HYPERLINK("https://transparencia.cidesi.mx/comprobantes/2021/CQ2100495 /C2ESTACIONAMIENTO_08_07_21_PDF_CFDI_F_BPA091110NR7_CID840309UG7_2021-07-08_73870.pdf")</f>
        <v>https://transparencia.cidesi.mx/comprobantes/2021/CQ2100495 /C2ESTACIONAMIENTO_08_07_21_PDF_CFDI_F_BPA091110NR7_CID840309UG7_2021-07-08_73870.pdf</v>
      </c>
      <c r="AN1363" t="str">
        <f>HYPERLINK("https://transparencia.cidesi.mx/comprobantes/2021/CQ2100495 /C2ESTACIONAMIENTO_08_07_21_PDF_CFDI_F_BPA091110NR7_CID840309UG7_2021-07-08_73870.pdf")</f>
        <v>https://transparencia.cidesi.mx/comprobantes/2021/CQ2100495 /C2ESTACIONAMIENTO_08_07_21_PDF_CFDI_F_BPA091110NR7_CID840309UG7_2021-07-08_73870.pdf</v>
      </c>
      <c r="AO1363" t="str">
        <f>HYPERLINK("https://transparencia.cidesi.mx/comprobantes/2021/CQ2100495 /C2ESTACIONAMIENTO_08_07_21_XML_CFDI_F_BPA091110NR7_CID840309UG7_2021-07-08_73870.xml")</f>
        <v>https://transparencia.cidesi.mx/comprobantes/2021/CQ2100495 /C2ESTACIONAMIENTO_08_07_21_XML_CFDI_F_BPA091110NR7_CID840309UG7_2021-07-08_73870.xml</v>
      </c>
      <c r="AP1363" t="s">
        <v>2648</v>
      </c>
      <c r="AQ1363" t="s">
        <v>2648</v>
      </c>
      <c r="AR1363" t="s">
        <v>2635</v>
      </c>
      <c r="AS1363" t="s">
        <v>2636</v>
      </c>
      <c r="AT1363" s="1">
        <v>44393</v>
      </c>
      <c r="AU1363" s="1">
        <v>44397</v>
      </c>
    </row>
    <row r="1364" spans="1:47" x14ac:dyDescent="0.3">
      <c r="A1364" t="s">
        <v>79</v>
      </c>
      <c r="B1364" t="s">
        <v>80</v>
      </c>
      <c r="C1364" t="s">
        <v>81</v>
      </c>
      <c r="D1364">
        <v>100708</v>
      </c>
      <c r="E1364" t="s">
        <v>2627</v>
      </c>
      <c r="F1364" t="s">
        <v>2628</v>
      </c>
      <c r="G1364" t="s">
        <v>2629</v>
      </c>
      <c r="H1364" t="s">
        <v>2650</v>
      </c>
      <c r="I1364" t="s">
        <v>54</v>
      </c>
      <c r="J1364" t="s">
        <v>2651</v>
      </c>
      <c r="K1364" t="s">
        <v>56</v>
      </c>
      <c r="L1364">
        <v>0</v>
      </c>
      <c r="M1364" t="s">
        <v>73</v>
      </c>
      <c r="N1364">
        <v>0</v>
      </c>
      <c r="O1364" t="s">
        <v>58</v>
      </c>
      <c r="P1364" t="s">
        <v>59</v>
      </c>
      <c r="Q1364" t="s">
        <v>60</v>
      </c>
      <c r="R1364" t="s">
        <v>2651</v>
      </c>
      <c r="S1364" s="1">
        <v>44386</v>
      </c>
      <c r="T1364" s="1">
        <v>44386</v>
      </c>
      <c r="U1364">
        <v>37501</v>
      </c>
      <c r="V1364" t="s">
        <v>61</v>
      </c>
      <c r="W1364" t="s">
        <v>2652</v>
      </c>
      <c r="X1364" s="1">
        <v>44390</v>
      </c>
      <c r="Y1364" t="s">
        <v>63</v>
      </c>
      <c r="Z1364">
        <v>275</v>
      </c>
      <c r="AA1364">
        <v>16</v>
      </c>
      <c r="AB1364">
        <v>44</v>
      </c>
      <c r="AC1364">
        <v>31</v>
      </c>
      <c r="AD1364">
        <v>350</v>
      </c>
      <c r="AE1364">
        <v>500</v>
      </c>
      <c r="AF1364">
        <v>545</v>
      </c>
      <c r="AG1364" t="s">
        <v>2633</v>
      </c>
      <c r="AH1364" t="s">
        <v>65</v>
      </c>
      <c r="AI1364" t="s">
        <v>65</v>
      </c>
      <c r="AJ1364" t="s">
        <v>66</v>
      </c>
      <c r="AK1364" t="s">
        <v>66</v>
      </c>
      <c r="AL1364" t="s">
        <v>66</v>
      </c>
      <c r="AM1364" s="2" t="str">
        <f>HYPERLINK("https://transparencia.cidesi.mx/comprobantes/2021/CQ2100502 /C1CID840309UG7FC0000017110.pdf")</f>
        <v>https://transparencia.cidesi.mx/comprobantes/2021/CQ2100502 /C1CID840309UG7FC0000017110.pdf</v>
      </c>
      <c r="AN1364" t="str">
        <f>HYPERLINK("https://transparencia.cidesi.mx/comprobantes/2021/CQ2100502 /C1CID840309UG7FC0000017110.pdf")</f>
        <v>https://transparencia.cidesi.mx/comprobantes/2021/CQ2100502 /C1CID840309UG7FC0000017110.pdf</v>
      </c>
      <c r="AO1364" t="str">
        <f>HYPERLINK("https://transparencia.cidesi.mx/comprobantes/2021/CQ2100502 /C1CID840309UG7FC0000017110.xml")</f>
        <v>https://transparencia.cidesi.mx/comprobantes/2021/CQ2100502 /C1CID840309UG7FC0000017110.xml</v>
      </c>
      <c r="AP1364" t="s">
        <v>2651</v>
      </c>
      <c r="AQ1364" t="s">
        <v>2651</v>
      </c>
      <c r="AR1364" t="s">
        <v>2653</v>
      </c>
      <c r="AS1364" t="s">
        <v>2636</v>
      </c>
      <c r="AT1364" s="1">
        <v>44396</v>
      </c>
      <c r="AU1364" s="1">
        <v>44399</v>
      </c>
    </row>
    <row r="1365" spans="1:47" x14ac:dyDescent="0.3">
      <c r="A1365" t="s">
        <v>79</v>
      </c>
      <c r="B1365" t="s">
        <v>80</v>
      </c>
      <c r="C1365" t="s">
        <v>81</v>
      </c>
      <c r="D1365">
        <v>100708</v>
      </c>
      <c r="E1365" t="s">
        <v>2627</v>
      </c>
      <c r="F1365" t="s">
        <v>2628</v>
      </c>
      <c r="G1365" t="s">
        <v>2629</v>
      </c>
      <c r="H1365" t="s">
        <v>2650</v>
      </c>
      <c r="I1365" t="s">
        <v>54</v>
      </c>
      <c r="J1365" t="s">
        <v>2651</v>
      </c>
      <c r="K1365" t="s">
        <v>56</v>
      </c>
      <c r="L1365">
        <v>0</v>
      </c>
      <c r="M1365" t="s">
        <v>73</v>
      </c>
      <c r="N1365">
        <v>0</v>
      </c>
      <c r="O1365" t="s">
        <v>58</v>
      </c>
      <c r="P1365" t="s">
        <v>59</v>
      </c>
      <c r="Q1365" t="s">
        <v>60</v>
      </c>
      <c r="R1365" t="s">
        <v>2651</v>
      </c>
      <c r="S1365" s="1">
        <v>44386</v>
      </c>
      <c r="T1365" s="1">
        <v>44386</v>
      </c>
      <c r="U1365">
        <v>37501</v>
      </c>
      <c r="V1365" t="s">
        <v>1009</v>
      </c>
      <c r="W1365" t="s">
        <v>2652</v>
      </c>
      <c r="X1365" s="1">
        <v>44390</v>
      </c>
      <c r="Y1365" t="s">
        <v>63</v>
      </c>
      <c r="Z1365">
        <v>129.31</v>
      </c>
      <c r="AA1365">
        <v>16</v>
      </c>
      <c r="AB1365">
        <v>20.69</v>
      </c>
      <c r="AC1365">
        <v>0</v>
      </c>
      <c r="AD1365">
        <v>150</v>
      </c>
      <c r="AE1365">
        <v>500</v>
      </c>
      <c r="AF1365">
        <v>545</v>
      </c>
      <c r="AG1365" t="s">
        <v>2654</v>
      </c>
      <c r="AH1365" t="s">
        <v>66</v>
      </c>
      <c r="AI1365" t="s">
        <v>65</v>
      </c>
      <c r="AJ1365" t="s">
        <v>66</v>
      </c>
      <c r="AK1365" t="s">
        <v>66</v>
      </c>
      <c r="AL1365" t="s">
        <v>66</v>
      </c>
      <c r="AM1365" s="2" t="str">
        <f>HYPERLINK("https://transparencia.cidesi.mx/comprobantes/2021/CQ2100502 /C2ESTACIONAMIENTO_09_07_21_PDF_CFDI_F_BPA091110NR7_CID840309UG7_2021-07-10_73979.pdf")</f>
        <v>https://transparencia.cidesi.mx/comprobantes/2021/CQ2100502 /C2ESTACIONAMIENTO_09_07_21_PDF_CFDI_F_BPA091110NR7_CID840309UG7_2021-07-10_73979.pdf</v>
      </c>
      <c r="AN1365" t="str">
        <f>HYPERLINK("https://transparencia.cidesi.mx/comprobantes/2021/CQ2100502 /C2ESTACIONAMIENTO_09_07_21_PDF_CFDI_F_BPA091110NR7_CID840309UG7_2021-07-10_73979.pdf")</f>
        <v>https://transparencia.cidesi.mx/comprobantes/2021/CQ2100502 /C2ESTACIONAMIENTO_09_07_21_PDF_CFDI_F_BPA091110NR7_CID840309UG7_2021-07-10_73979.pdf</v>
      </c>
      <c r="AO1365" t="str">
        <f>HYPERLINK("https://transparencia.cidesi.mx/comprobantes/2021/CQ2100502 /C2ESTACIONAMIENTO_09_07_21_XML_CFDI_F_BPA091110NR7_CID840309UG7_2021-07-10_73979.xml")</f>
        <v>https://transparencia.cidesi.mx/comprobantes/2021/CQ2100502 /C2ESTACIONAMIENTO_09_07_21_XML_CFDI_F_BPA091110NR7_CID840309UG7_2021-07-10_73979.xml</v>
      </c>
      <c r="AP1365" t="s">
        <v>2651</v>
      </c>
      <c r="AQ1365" t="s">
        <v>2651</v>
      </c>
      <c r="AR1365" t="s">
        <v>2653</v>
      </c>
      <c r="AS1365" t="s">
        <v>2636</v>
      </c>
      <c r="AT1365" s="1">
        <v>44396</v>
      </c>
      <c r="AU1365" s="1">
        <v>44399</v>
      </c>
    </row>
    <row r="1366" spans="1:47" x14ac:dyDescent="0.3">
      <c r="A1366" t="s">
        <v>79</v>
      </c>
      <c r="B1366" t="s">
        <v>80</v>
      </c>
      <c r="C1366" t="s">
        <v>81</v>
      </c>
      <c r="D1366">
        <v>100708</v>
      </c>
      <c r="E1366" t="s">
        <v>2627</v>
      </c>
      <c r="F1366" t="s">
        <v>2628</v>
      </c>
      <c r="G1366" t="s">
        <v>2629</v>
      </c>
      <c r="H1366" t="s">
        <v>2655</v>
      </c>
      <c r="I1366" t="s">
        <v>54</v>
      </c>
      <c r="J1366" t="s">
        <v>2656</v>
      </c>
      <c r="K1366" t="s">
        <v>56</v>
      </c>
      <c r="L1366">
        <v>0</v>
      </c>
      <c r="M1366" t="s">
        <v>73</v>
      </c>
      <c r="N1366">
        <v>0</v>
      </c>
      <c r="O1366" t="s">
        <v>58</v>
      </c>
      <c r="P1366" t="s">
        <v>59</v>
      </c>
      <c r="Q1366" t="s">
        <v>60</v>
      </c>
      <c r="R1366" t="s">
        <v>2656</v>
      </c>
      <c r="S1366" s="1">
        <v>44389</v>
      </c>
      <c r="T1366" s="1">
        <v>44389</v>
      </c>
      <c r="U1366">
        <v>37501</v>
      </c>
      <c r="V1366" t="s">
        <v>61</v>
      </c>
      <c r="W1366" t="s">
        <v>2657</v>
      </c>
      <c r="X1366" s="1">
        <v>44393</v>
      </c>
      <c r="Y1366" t="s">
        <v>63</v>
      </c>
      <c r="Z1366">
        <v>298.27999999999997</v>
      </c>
      <c r="AA1366">
        <v>16</v>
      </c>
      <c r="AB1366">
        <v>47.72</v>
      </c>
      <c r="AC1366">
        <v>34.6</v>
      </c>
      <c r="AD1366">
        <v>380.6</v>
      </c>
      <c r="AE1366">
        <v>544.6</v>
      </c>
      <c r="AF1366">
        <v>545</v>
      </c>
      <c r="AG1366" t="s">
        <v>2633</v>
      </c>
      <c r="AH1366" t="s">
        <v>65</v>
      </c>
      <c r="AI1366" t="s">
        <v>65</v>
      </c>
      <c r="AJ1366" t="s">
        <v>66</v>
      </c>
      <c r="AK1366" t="s">
        <v>66</v>
      </c>
      <c r="AL1366" t="s">
        <v>66</v>
      </c>
      <c r="AM1366" s="2" t="str">
        <f>HYPERLINK("https://transparencia.cidesi.mx/comprobantes/2021/CQ2100519 /C1LAFINCA_12_07_21_XML_69061867 (4).pdf")</f>
        <v>https://transparencia.cidesi.mx/comprobantes/2021/CQ2100519 /C1LAFINCA_12_07_21_XML_69061867 (4).pdf</v>
      </c>
      <c r="AN1366" t="str">
        <f>HYPERLINK("https://transparencia.cidesi.mx/comprobantes/2021/CQ2100519 /C1LAFINCA_12_07_21_XML_69061867 (4).pdf")</f>
        <v>https://transparencia.cidesi.mx/comprobantes/2021/CQ2100519 /C1LAFINCA_12_07_21_XML_69061867 (4).pdf</v>
      </c>
      <c r="AO1366" t="str">
        <f>HYPERLINK("https://transparencia.cidesi.mx/comprobantes/2021/CQ2100519 /C1LAFINCA_12_07_21_XML_69061867.xml")</f>
        <v>https://transparencia.cidesi.mx/comprobantes/2021/CQ2100519 /C1LAFINCA_12_07_21_XML_69061867.xml</v>
      </c>
      <c r="AP1366" t="s">
        <v>2656</v>
      </c>
      <c r="AQ1366" t="s">
        <v>2656</v>
      </c>
      <c r="AR1366" t="s">
        <v>2635</v>
      </c>
      <c r="AS1366" t="s">
        <v>2636</v>
      </c>
      <c r="AT1366" s="1">
        <v>44396</v>
      </c>
      <c r="AU1366" s="1">
        <v>44399</v>
      </c>
    </row>
    <row r="1367" spans="1:47" x14ac:dyDescent="0.3">
      <c r="A1367" t="s">
        <v>79</v>
      </c>
      <c r="B1367" t="s">
        <v>80</v>
      </c>
      <c r="C1367" t="s">
        <v>81</v>
      </c>
      <c r="D1367">
        <v>100708</v>
      </c>
      <c r="E1367" t="s">
        <v>2627</v>
      </c>
      <c r="F1367" t="s">
        <v>2628</v>
      </c>
      <c r="G1367" t="s">
        <v>2629</v>
      </c>
      <c r="H1367" t="s">
        <v>2655</v>
      </c>
      <c r="I1367" t="s">
        <v>54</v>
      </c>
      <c r="J1367" t="s">
        <v>2656</v>
      </c>
      <c r="K1367" t="s">
        <v>56</v>
      </c>
      <c r="L1367">
        <v>0</v>
      </c>
      <c r="M1367" t="s">
        <v>73</v>
      </c>
      <c r="N1367">
        <v>0</v>
      </c>
      <c r="O1367" t="s">
        <v>58</v>
      </c>
      <c r="P1367" t="s">
        <v>59</v>
      </c>
      <c r="Q1367" t="s">
        <v>60</v>
      </c>
      <c r="R1367" t="s">
        <v>2656</v>
      </c>
      <c r="S1367" s="1">
        <v>44389</v>
      </c>
      <c r="T1367" s="1">
        <v>44389</v>
      </c>
      <c r="U1367">
        <v>37501</v>
      </c>
      <c r="V1367" t="s">
        <v>1009</v>
      </c>
      <c r="W1367" t="s">
        <v>2657</v>
      </c>
      <c r="X1367" s="1">
        <v>44393</v>
      </c>
      <c r="Y1367" t="s">
        <v>63</v>
      </c>
      <c r="Z1367">
        <v>141.24</v>
      </c>
      <c r="AA1367">
        <v>16</v>
      </c>
      <c r="AB1367">
        <v>22.76</v>
      </c>
      <c r="AC1367">
        <v>0</v>
      </c>
      <c r="AD1367">
        <v>164</v>
      </c>
      <c r="AE1367">
        <v>544.6</v>
      </c>
      <c r="AF1367">
        <v>545</v>
      </c>
      <c r="AG1367" t="s">
        <v>2658</v>
      </c>
      <c r="AH1367" t="s">
        <v>66</v>
      </c>
      <c r="AI1367" t="s">
        <v>65</v>
      </c>
      <c r="AJ1367" t="s">
        <v>66</v>
      </c>
      <c r="AK1367" t="s">
        <v>66</v>
      </c>
      <c r="AL1367" t="s">
        <v>66</v>
      </c>
      <c r="AM1367" s="2" t="str">
        <f>HYPERLINK("https://transparencia.cidesi.mx/comprobantes/2021/CQ2100519 /C2ESTACIONAMIENTO_12_07_21_PDF_CFDI_F_BPA091110NR7_CID840309UG7_2021-07-13_74073.pdf")</f>
        <v>https://transparencia.cidesi.mx/comprobantes/2021/CQ2100519 /C2ESTACIONAMIENTO_12_07_21_PDF_CFDI_F_BPA091110NR7_CID840309UG7_2021-07-13_74073.pdf</v>
      </c>
      <c r="AN1367" t="str">
        <f>HYPERLINK("https://transparencia.cidesi.mx/comprobantes/2021/CQ2100519 /C2ESTACIONAMIENTO_12_07_21_PDF_CFDI_F_BPA091110NR7_CID840309UG7_2021-07-13_74073.pdf")</f>
        <v>https://transparencia.cidesi.mx/comprobantes/2021/CQ2100519 /C2ESTACIONAMIENTO_12_07_21_PDF_CFDI_F_BPA091110NR7_CID840309UG7_2021-07-13_74073.pdf</v>
      </c>
      <c r="AO1367" t="str">
        <f>HYPERLINK("https://transparencia.cidesi.mx/comprobantes/2021/CQ2100519 /C2ESTACIONAMIENTO_12_07_21_XML_CFDI_F_BPA091110NR7_CID840309UG7_2021-07-13_74073.xml")</f>
        <v>https://transparencia.cidesi.mx/comprobantes/2021/CQ2100519 /C2ESTACIONAMIENTO_12_07_21_XML_CFDI_F_BPA091110NR7_CID840309UG7_2021-07-13_74073.xml</v>
      </c>
      <c r="AP1367" t="s">
        <v>2656</v>
      </c>
      <c r="AQ1367" t="s">
        <v>2656</v>
      </c>
      <c r="AR1367" t="s">
        <v>2635</v>
      </c>
      <c r="AS1367" t="s">
        <v>2636</v>
      </c>
      <c r="AT1367" s="1">
        <v>44396</v>
      </c>
      <c r="AU1367" s="1">
        <v>44399</v>
      </c>
    </row>
    <row r="1368" spans="1:47" x14ac:dyDescent="0.3">
      <c r="A1368" t="s">
        <v>79</v>
      </c>
      <c r="B1368" t="s">
        <v>80</v>
      </c>
      <c r="C1368" t="s">
        <v>81</v>
      </c>
      <c r="D1368">
        <v>100708</v>
      </c>
      <c r="E1368" t="s">
        <v>2627</v>
      </c>
      <c r="F1368" t="s">
        <v>2628</v>
      </c>
      <c r="G1368" t="s">
        <v>2629</v>
      </c>
      <c r="H1368" t="s">
        <v>2659</v>
      </c>
      <c r="I1368" t="s">
        <v>54</v>
      </c>
      <c r="J1368" t="s">
        <v>2660</v>
      </c>
      <c r="K1368" t="s">
        <v>56</v>
      </c>
      <c r="L1368">
        <v>0</v>
      </c>
      <c r="M1368" t="s">
        <v>73</v>
      </c>
      <c r="N1368">
        <v>0</v>
      </c>
      <c r="O1368" t="s">
        <v>58</v>
      </c>
      <c r="P1368" t="s">
        <v>59</v>
      </c>
      <c r="Q1368" t="s">
        <v>108</v>
      </c>
      <c r="R1368" t="s">
        <v>2660</v>
      </c>
      <c r="S1368" s="1">
        <v>44390</v>
      </c>
      <c r="T1368" s="1">
        <v>44390</v>
      </c>
      <c r="U1368">
        <v>37501</v>
      </c>
      <c r="V1368" t="s">
        <v>61</v>
      </c>
      <c r="W1368" t="s">
        <v>2661</v>
      </c>
      <c r="X1368" s="1">
        <v>44393</v>
      </c>
      <c r="Y1368" t="s">
        <v>63</v>
      </c>
      <c r="Z1368">
        <v>388.14</v>
      </c>
      <c r="AA1368">
        <v>16</v>
      </c>
      <c r="AB1368">
        <v>23.86</v>
      </c>
      <c r="AC1368">
        <v>0</v>
      </c>
      <c r="AD1368">
        <v>412</v>
      </c>
      <c r="AE1368">
        <v>516.9</v>
      </c>
      <c r="AF1368">
        <v>545</v>
      </c>
      <c r="AG1368" t="s">
        <v>2633</v>
      </c>
      <c r="AH1368" t="s">
        <v>65</v>
      </c>
      <c r="AI1368" t="s">
        <v>65</v>
      </c>
      <c r="AJ1368" t="s">
        <v>66</v>
      </c>
      <c r="AK1368" t="s">
        <v>66</v>
      </c>
      <c r="AL1368" t="s">
        <v>66</v>
      </c>
      <c r="AM1368" s="2" t="str">
        <f>HYPERLINK("https://transparencia.cidesi.mx/comprobantes/2021/CQ2100520 /C1ALIMENTOS_13_07_21_PDF_21C072820.pdf")</f>
        <v>https://transparencia.cidesi.mx/comprobantes/2021/CQ2100520 /C1ALIMENTOS_13_07_21_PDF_21C072820.pdf</v>
      </c>
      <c r="AN1368" t="str">
        <f>HYPERLINK("https://transparencia.cidesi.mx/comprobantes/2021/CQ2100520 /C1ALIMENTOS_13_07_21_PDF_21C072820.pdf")</f>
        <v>https://transparencia.cidesi.mx/comprobantes/2021/CQ2100520 /C1ALIMENTOS_13_07_21_PDF_21C072820.pdf</v>
      </c>
      <c r="AO1368" t="str">
        <f>HYPERLINK("https://transparencia.cidesi.mx/comprobantes/2021/CQ2100520 /C1ALIMENTOS_13_07_21_XML_21C072820.xml")</f>
        <v>https://transparencia.cidesi.mx/comprobantes/2021/CQ2100520 /C1ALIMENTOS_13_07_21_XML_21C072820.xml</v>
      </c>
      <c r="AP1368" t="s">
        <v>2660</v>
      </c>
      <c r="AQ1368" t="s">
        <v>2660</v>
      </c>
      <c r="AR1368" t="s">
        <v>2635</v>
      </c>
      <c r="AS1368" t="s">
        <v>2636</v>
      </c>
      <c r="AT1368" s="1">
        <v>44396</v>
      </c>
      <c r="AU1368" s="1">
        <v>44399</v>
      </c>
    </row>
    <row r="1369" spans="1:47" x14ac:dyDescent="0.3">
      <c r="A1369" t="s">
        <v>79</v>
      </c>
      <c r="B1369" t="s">
        <v>80</v>
      </c>
      <c r="C1369" t="s">
        <v>81</v>
      </c>
      <c r="D1369">
        <v>100708</v>
      </c>
      <c r="E1369" t="s">
        <v>2627</v>
      </c>
      <c r="F1369" t="s">
        <v>2628</v>
      </c>
      <c r="G1369" t="s">
        <v>2629</v>
      </c>
      <c r="H1369" t="s">
        <v>2659</v>
      </c>
      <c r="I1369" t="s">
        <v>54</v>
      </c>
      <c r="J1369" t="s">
        <v>2660</v>
      </c>
      <c r="K1369" t="s">
        <v>56</v>
      </c>
      <c r="L1369">
        <v>0</v>
      </c>
      <c r="M1369" t="s">
        <v>73</v>
      </c>
      <c r="N1369">
        <v>0</v>
      </c>
      <c r="O1369" t="s">
        <v>58</v>
      </c>
      <c r="P1369" t="s">
        <v>59</v>
      </c>
      <c r="Q1369" t="s">
        <v>108</v>
      </c>
      <c r="R1369" t="s">
        <v>2660</v>
      </c>
      <c r="S1369" s="1">
        <v>44390</v>
      </c>
      <c r="T1369" s="1">
        <v>44390</v>
      </c>
      <c r="U1369">
        <v>37501</v>
      </c>
      <c r="V1369" t="s">
        <v>61</v>
      </c>
      <c r="W1369" t="s">
        <v>2661</v>
      </c>
      <c r="X1369" s="1">
        <v>44393</v>
      </c>
      <c r="Y1369" t="s">
        <v>63</v>
      </c>
      <c r="Z1369">
        <v>98.01</v>
      </c>
      <c r="AA1369">
        <v>16</v>
      </c>
      <c r="AB1369">
        <v>6.89</v>
      </c>
      <c r="AC1369">
        <v>0</v>
      </c>
      <c r="AD1369">
        <v>104.9</v>
      </c>
      <c r="AE1369">
        <v>516.9</v>
      </c>
      <c r="AF1369">
        <v>545</v>
      </c>
      <c r="AG1369" t="s">
        <v>2633</v>
      </c>
      <c r="AH1369" t="s">
        <v>65</v>
      </c>
      <c r="AI1369" t="s">
        <v>65</v>
      </c>
      <c r="AJ1369" t="s">
        <v>66</v>
      </c>
      <c r="AK1369" t="s">
        <v>66</v>
      </c>
      <c r="AL1369" t="s">
        <v>66</v>
      </c>
      <c r="AM1369" s="2" t="str">
        <f>HYPERLINK("https://transparencia.cidesi.mx/comprobantes/2021/CQ2100520 /C2OXXO_13_07_21_PDF_FACTURA_1626474586883_337348859.pdf")</f>
        <v>https://transparencia.cidesi.mx/comprobantes/2021/CQ2100520 /C2OXXO_13_07_21_PDF_FACTURA_1626474586883_337348859.pdf</v>
      </c>
      <c r="AN1369" t="str">
        <f>HYPERLINK("https://transparencia.cidesi.mx/comprobantes/2021/CQ2100520 /C2OXXO_13_07_21_PDF_FACTURA_1626474586883_337348859.pdf")</f>
        <v>https://transparencia.cidesi.mx/comprobantes/2021/CQ2100520 /C2OXXO_13_07_21_PDF_FACTURA_1626474586883_337348859.pdf</v>
      </c>
      <c r="AO1369" t="str">
        <f>HYPERLINK("https://transparencia.cidesi.mx/comprobantes/2021/CQ2100520 /C2OXXO_13_07_21_XML_FACTURA_1626474603493_337348859.xml")</f>
        <v>https://transparencia.cidesi.mx/comprobantes/2021/CQ2100520 /C2OXXO_13_07_21_XML_FACTURA_1626474603493_337348859.xml</v>
      </c>
      <c r="AP1369" t="s">
        <v>2660</v>
      </c>
      <c r="AQ1369" t="s">
        <v>2660</v>
      </c>
      <c r="AR1369" t="s">
        <v>2635</v>
      </c>
      <c r="AS1369" t="s">
        <v>2636</v>
      </c>
      <c r="AT1369" s="1">
        <v>44396</v>
      </c>
      <c r="AU1369" s="1">
        <v>44399</v>
      </c>
    </row>
    <row r="1370" spans="1:47" x14ac:dyDescent="0.3">
      <c r="A1370" t="s">
        <v>79</v>
      </c>
      <c r="B1370" t="s">
        <v>80</v>
      </c>
      <c r="C1370" t="s">
        <v>81</v>
      </c>
      <c r="D1370">
        <v>100708</v>
      </c>
      <c r="E1370" t="s">
        <v>2627</v>
      </c>
      <c r="F1370" t="s">
        <v>2628</v>
      </c>
      <c r="G1370" t="s">
        <v>2629</v>
      </c>
      <c r="H1370" t="s">
        <v>2662</v>
      </c>
      <c r="I1370" t="s">
        <v>54</v>
      </c>
      <c r="J1370" t="s">
        <v>2663</v>
      </c>
      <c r="K1370" t="s">
        <v>56</v>
      </c>
      <c r="L1370">
        <v>0</v>
      </c>
      <c r="M1370" t="s">
        <v>73</v>
      </c>
      <c r="N1370">
        <v>0</v>
      </c>
      <c r="O1370" t="s">
        <v>58</v>
      </c>
      <c r="P1370" t="s">
        <v>59</v>
      </c>
      <c r="Q1370" t="s">
        <v>108</v>
      </c>
      <c r="R1370" t="s">
        <v>2663</v>
      </c>
      <c r="S1370" s="1">
        <v>44392</v>
      </c>
      <c r="T1370" s="1">
        <v>44392</v>
      </c>
      <c r="U1370">
        <v>37501</v>
      </c>
      <c r="V1370" t="s">
        <v>61</v>
      </c>
      <c r="W1370" t="s">
        <v>2664</v>
      </c>
      <c r="X1370" s="1">
        <v>44393</v>
      </c>
      <c r="Y1370" t="s">
        <v>63</v>
      </c>
      <c r="Z1370">
        <v>495.52</v>
      </c>
      <c r="AA1370">
        <v>16</v>
      </c>
      <c r="AB1370">
        <v>46.48</v>
      </c>
      <c r="AC1370">
        <v>0</v>
      </c>
      <c r="AD1370">
        <v>542</v>
      </c>
      <c r="AE1370">
        <v>542</v>
      </c>
      <c r="AF1370">
        <v>545</v>
      </c>
      <c r="AG1370" t="s">
        <v>2633</v>
      </c>
      <c r="AH1370" t="s">
        <v>65</v>
      </c>
      <c r="AI1370" t="s">
        <v>65</v>
      </c>
      <c r="AJ1370" t="s">
        <v>66</v>
      </c>
      <c r="AK1370" t="s">
        <v>66</v>
      </c>
      <c r="AL1370" t="s">
        <v>66</v>
      </c>
      <c r="AM1370" s="2" t="str">
        <f>HYPERLINK("https://transparencia.cidesi.mx/comprobantes/2021/CQ2100521 /C1ALIMENTOS_15_07_21_PDF_21C072997.pdf")</f>
        <v>https://transparencia.cidesi.mx/comprobantes/2021/CQ2100521 /C1ALIMENTOS_15_07_21_PDF_21C072997.pdf</v>
      </c>
      <c r="AN1370" t="str">
        <f>HYPERLINK("https://transparencia.cidesi.mx/comprobantes/2021/CQ2100521 /C1ALIMENTOS_15_07_21_PDF_21C072997.pdf")</f>
        <v>https://transparencia.cidesi.mx/comprobantes/2021/CQ2100521 /C1ALIMENTOS_15_07_21_PDF_21C072997.pdf</v>
      </c>
      <c r="AO1370" t="str">
        <f>HYPERLINK("https://transparencia.cidesi.mx/comprobantes/2021/CQ2100521 /C1ALIMENTOS_15_07_21_XML_21C072997.xml")</f>
        <v>https://transparencia.cidesi.mx/comprobantes/2021/CQ2100521 /C1ALIMENTOS_15_07_21_XML_21C072997.xml</v>
      </c>
      <c r="AP1370" t="s">
        <v>2663</v>
      </c>
      <c r="AQ1370" t="s">
        <v>2663</v>
      </c>
      <c r="AR1370" t="s">
        <v>2641</v>
      </c>
      <c r="AS1370" t="s">
        <v>2636</v>
      </c>
      <c r="AT1370" s="1">
        <v>44396</v>
      </c>
      <c r="AU1370" s="1">
        <v>44399</v>
      </c>
    </row>
    <row r="1371" spans="1:47" x14ac:dyDescent="0.3">
      <c r="A1371" t="s">
        <v>79</v>
      </c>
      <c r="B1371" t="s">
        <v>80</v>
      </c>
      <c r="C1371" t="s">
        <v>81</v>
      </c>
      <c r="D1371">
        <v>100708</v>
      </c>
      <c r="E1371" t="s">
        <v>2627</v>
      </c>
      <c r="F1371" t="s">
        <v>2628</v>
      </c>
      <c r="G1371" t="s">
        <v>2629</v>
      </c>
      <c r="H1371" t="s">
        <v>2665</v>
      </c>
      <c r="I1371" t="s">
        <v>54</v>
      </c>
      <c r="J1371" t="s">
        <v>2666</v>
      </c>
      <c r="K1371" t="s">
        <v>56</v>
      </c>
      <c r="L1371">
        <v>0</v>
      </c>
      <c r="M1371" t="s">
        <v>73</v>
      </c>
      <c r="N1371">
        <v>0</v>
      </c>
      <c r="O1371" t="s">
        <v>58</v>
      </c>
      <c r="P1371" t="s">
        <v>59</v>
      </c>
      <c r="Q1371" t="s">
        <v>60</v>
      </c>
      <c r="R1371" t="s">
        <v>2666</v>
      </c>
      <c r="S1371" s="1">
        <v>44393</v>
      </c>
      <c r="T1371" s="1">
        <v>44393</v>
      </c>
      <c r="U1371">
        <v>37501</v>
      </c>
      <c r="V1371" t="s">
        <v>61</v>
      </c>
      <c r="W1371" t="s">
        <v>2667</v>
      </c>
      <c r="X1371" s="1">
        <v>44398</v>
      </c>
      <c r="Y1371" t="s">
        <v>63</v>
      </c>
      <c r="Z1371">
        <v>531.41</v>
      </c>
      <c r="AA1371">
        <v>16</v>
      </c>
      <c r="AB1371">
        <v>11.59</v>
      </c>
      <c r="AC1371">
        <v>0</v>
      </c>
      <c r="AD1371">
        <v>543</v>
      </c>
      <c r="AE1371">
        <v>543</v>
      </c>
      <c r="AF1371">
        <v>545</v>
      </c>
      <c r="AG1371" t="s">
        <v>2633</v>
      </c>
      <c r="AH1371" t="s">
        <v>65</v>
      </c>
      <c r="AI1371" t="s">
        <v>65</v>
      </c>
      <c r="AJ1371" t="s">
        <v>66</v>
      </c>
      <c r="AK1371" t="s">
        <v>66</v>
      </c>
      <c r="AL1371" t="s">
        <v>66</v>
      </c>
      <c r="AM1371" s="2" t="str">
        <f>HYPERLINK("https://transparencia.cidesi.mx/comprobantes/2021/CQ2100538 /C1ALIMENTOS_16_07_21_PDF_21C073058.pdf")</f>
        <v>https://transparencia.cidesi.mx/comprobantes/2021/CQ2100538 /C1ALIMENTOS_16_07_21_PDF_21C073058.pdf</v>
      </c>
      <c r="AN1371" t="str">
        <f>HYPERLINK("https://transparencia.cidesi.mx/comprobantes/2021/CQ2100538 /C1ALIMENTOS_16_07_21_PDF_21C073058.pdf")</f>
        <v>https://transparencia.cidesi.mx/comprobantes/2021/CQ2100538 /C1ALIMENTOS_16_07_21_PDF_21C073058.pdf</v>
      </c>
      <c r="AO1371" t="str">
        <f>HYPERLINK("https://transparencia.cidesi.mx/comprobantes/2021/CQ2100538 /C1ALIMENTOS_16_07_21_XML_21C073058.xml")</f>
        <v>https://transparencia.cidesi.mx/comprobantes/2021/CQ2100538 /C1ALIMENTOS_16_07_21_XML_21C073058.xml</v>
      </c>
      <c r="AP1371" t="s">
        <v>2666</v>
      </c>
      <c r="AQ1371" t="s">
        <v>2666</v>
      </c>
      <c r="AR1371" t="s">
        <v>2635</v>
      </c>
      <c r="AS1371" t="s">
        <v>2636</v>
      </c>
      <c r="AT1371" s="1">
        <v>44399</v>
      </c>
      <c r="AU1371" s="1">
        <v>44403</v>
      </c>
    </row>
    <row r="1372" spans="1:47" x14ac:dyDescent="0.3">
      <c r="A1372" t="s">
        <v>79</v>
      </c>
      <c r="B1372" t="s">
        <v>80</v>
      </c>
      <c r="C1372" t="s">
        <v>81</v>
      </c>
      <c r="D1372">
        <v>100708</v>
      </c>
      <c r="E1372" t="s">
        <v>2627</v>
      </c>
      <c r="F1372" t="s">
        <v>2628</v>
      </c>
      <c r="G1372" t="s">
        <v>2629</v>
      </c>
      <c r="H1372" t="s">
        <v>2668</v>
      </c>
      <c r="I1372" t="s">
        <v>54</v>
      </c>
      <c r="J1372" t="s">
        <v>2669</v>
      </c>
      <c r="K1372" t="s">
        <v>56</v>
      </c>
      <c r="L1372">
        <v>0</v>
      </c>
      <c r="M1372" t="s">
        <v>73</v>
      </c>
      <c r="N1372">
        <v>0</v>
      </c>
      <c r="O1372" t="s">
        <v>58</v>
      </c>
      <c r="P1372" t="s">
        <v>59</v>
      </c>
      <c r="Q1372" t="s">
        <v>60</v>
      </c>
      <c r="R1372" t="s">
        <v>2669</v>
      </c>
      <c r="S1372" s="1">
        <v>44396</v>
      </c>
      <c r="T1372" s="1">
        <v>44396</v>
      </c>
      <c r="U1372">
        <v>37501</v>
      </c>
      <c r="V1372" t="s">
        <v>61</v>
      </c>
      <c r="W1372" t="s">
        <v>2670</v>
      </c>
      <c r="X1372" s="1">
        <v>44397</v>
      </c>
      <c r="Y1372" t="s">
        <v>63</v>
      </c>
      <c r="Z1372">
        <v>533.97</v>
      </c>
      <c r="AA1372">
        <v>16</v>
      </c>
      <c r="AB1372">
        <v>11.03</v>
      </c>
      <c r="AC1372">
        <v>0</v>
      </c>
      <c r="AD1372">
        <v>545</v>
      </c>
      <c r="AE1372">
        <v>545</v>
      </c>
      <c r="AF1372">
        <v>545</v>
      </c>
      <c r="AG1372" t="s">
        <v>2633</v>
      </c>
      <c r="AH1372" t="s">
        <v>65</v>
      </c>
      <c r="AI1372" t="s">
        <v>65</v>
      </c>
      <c r="AJ1372" t="s">
        <v>66</v>
      </c>
      <c r="AK1372" t="s">
        <v>66</v>
      </c>
      <c r="AL1372" t="s">
        <v>66</v>
      </c>
      <c r="AM1372" s="2" t="str">
        <f>HYPERLINK("https://transparencia.cidesi.mx/comprobantes/2021/CQ2100529 /C1ALIMENTOS_19_07_21_PDF_21C073231.pdf")</f>
        <v>https://transparencia.cidesi.mx/comprobantes/2021/CQ2100529 /C1ALIMENTOS_19_07_21_PDF_21C073231.pdf</v>
      </c>
      <c r="AN1372" t="str">
        <f>HYPERLINK("https://transparencia.cidesi.mx/comprobantes/2021/CQ2100529 /C1ALIMENTOS_19_07_21_PDF_21C073231.pdf")</f>
        <v>https://transparencia.cidesi.mx/comprobantes/2021/CQ2100529 /C1ALIMENTOS_19_07_21_PDF_21C073231.pdf</v>
      </c>
      <c r="AO1372" t="str">
        <f>HYPERLINK("https://transparencia.cidesi.mx/comprobantes/2021/CQ2100529 /C1ALIMENTOS_19_07_21_XML_21C073231.xml")</f>
        <v>https://transparencia.cidesi.mx/comprobantes/2021/CQ2100529 /C1ALIMENTOS_19_07_21_XML_21C073231.xml</v>
      </c>
      <c r="AP1372" t="s">
        <v>2669</v>
      </c>
      <c r="AQ1372" t="s">
        <v>2669</v>
      </c>
      <c r="AR1372" t="s">
        <v>2635</v>
      </c>
      <c r="AS1372" t="s">
        <v>2636</v>
      </c>
      <c r="AT1372" s="1">
        <v>44403</v>
      </c>
      <c r="AU1372" s="1">
        <v>44403</v>
      </c>
    </row>
    <row r="1373" spans="1:47" x14ac:dyDescent="0.3">
      <c r="A1373" t="s">
        <v>79</v>
      </c>
      <c r="B1373" t="s">
        <v>80</v>
      </c>
      <c r="C1373" t="s">
        <v>81</v>
      </c>
      <c r="D1373">
        <v>100708</v>
      </c>
      <c r="E1373" t="s">
        <v>2627</v>
      </c>
      <c r="F1373" t="s">
        <v>2628</v>
      </c>
      <c r="G1373" t="s">
        <v>2629</v>
      </c>
      <c r="H1373" t="s">
        <v>2671</v>
      </c>
      <c r="I1373" t="s">
        <v>54</v>
      </c>
      <c r="J1373" t="s">
        <v>2672</v>
      </c>
      <c r="K1373" t="s">
        <v>56</v>
      </c>
      <c r="L1373">
        <v>0</v>
      </c>
      <c r="M1373" t="s">
        <v>73</v>
      </c>
      <c r="N1373">
        <v>0</v>
      </c>
      <c r="O1373" t="s">
        <v>58</v>
      </c>
      <c r="P1373" t="s">
        <v>59</v>
      </c>
      <c r="Q1373" t="s">
        <v>108</v>
      </c>
      <c r="R1373" t="s">
        <v>2672</v>
      </c>
      <c r="S1373" s="1">
        <v>44397</v>
      </c>
      <c r="T1373" s="1">
        <v>44397</v>
      </c>
      <c r="U1373">
        <v>37501</v>
      </c>
      <c r="V1373" t="s">
        <v>61</v>
      </c>
      <c r="W1373" t="s">
        <v>2673</v>
      </c>
      <c r="X1373" s="1">
        <v>44398</v>
      </c>
      <c r="Y1373" t="s">
        <v>63</v>
      </c>
      <c r="Z1373">
        <v>156.03</v>
      </c>
      <c r="AA1373">
        <v>16</v>
      </c>
      <c r="AB1373">
        <v>24.97</v>
      </c>
      <c r="AC1373">
        <v>0</v>
      </c>
      <c r="AD1373">
        <v>181</v>
      </c>
      <c r="AE1373">
        <v>528</v>
      </c>
      <c r="AF1373">
        <v>545</v>
      </c>
      <c r="AG1373" t="s">
        <v>2633</v>
      </c>
      <c r="AH1373" t="s">
        <v>65</v>
      </c>
      <c r="AI1373" t="s">
        <v>65</v>
      </c>
      <c r="AJ1373" t="s">
        <v>66</v>
      </c>
      <c r="AK1373" t="s">
        <v>66</v>
      </c>
      <c r="AL1373" t="s">
        <v>66</v>
      </c>
      <c r="AM1373" s="2" t="str">
        <f>HYPERLINK("https://transparencia.cidesi.mx/comprobantes/2021/CQ2100539 /C1LINDAVISTA_20_07_21_PDF_RLI930128AI5CFDI-556329.pdf")</f>
        <v>https://transparencia.cidesi.mx/comprobantes/2021/CQ2100539 /C1LINDAVISTA_20_07_21_PDF_RLI930128AI5CFDI-556329.pdf</v>
      </c>
      <c r="AN1373" t="str">
        <f>HYPERLINK("https://transparencia.cidesi.mx/comprobantes/2021/CQ2100539 /C1LINDAVISTA_20_07_21_PDF_RLI930128AI5CFDI-556329.pdf")</f>
        <v>https://transparencia.cidesi.mx/comprobantes/2021/CQ2100539 /C1LINDAVISTA_20_07_21_PDF_RLI930128AI5CFDI-556329.pdf</v>
      </c>
      <c r="AO1373" t="str">
        <f>HYPERLINK("https://transparencia.cidesi.mx/comprobantes/2021/CQ2100539 /C1LINDAVISTA_20_07_21_XML_RLI930128AI5CFDI-556329.xml")</f>
        <v>https://transparencia.cidesi.mx/comprobantes/2021/CQ2100539 /C1LINDAVISTA_20_07_21_XML_RLI930128AI5CFDI-556329.xml</v>
      </c>
      <c r="AP1373" t="s">
        <v>2672</v>
      </c>
      <c r="AQ1373" t="s">
        <v>2672</v>
      </c>
      <c r="AR1373" t="s">
        <v>2641</v>
      </c>
      <c r="AS1373" t="s">
        <v>2636</v>
      </c>
      <c r="AT1373" s="1">
        <v>44399</v>
      </c>
      <c r="AU1373" s="1">
        <v>44403</v>
      </c>
    </row>
    <row r="1374" spans="1:47" x14ac:dyDescent="0.3">
      <c r="A1374" t="s">
        <v>79</v>
      </c>
      <c r="B1374" t="s">
        <v>80</v>
      </c>
      <c r="C1374" t="s">
        <v>81</v>
      </c>
      <c r="D1374">
        <v>100708</v>
      </c>
      <c r="E1374" t="s">
        <v>2627</v>
      </c>
      <c r="F1374" t="s">
        <v>2628</v>
      </c>
      <c r="G1374" t="s">
        <v>2629</v>
      </c>
      <c r="H1374" t="s">
        <v>2671</v>
      </c>
      <c r="I1374" t="s">
        <v>54</v>
      </c>
      <c r="J1374" t="s">
        <v>2672</v>
      </c>
      <c r="K1374" t="s">
        <v>56</v>
      </c>
      <c r="L1374">
        <v>0</v>
      </c>
      <c r="M1374" t="s">
        <v>73</v>
      </c>
      <c r="N1374">
        <v>0</v>
      </c>
      <c r="O1374" t="s">
        <v>58</v>
      </c>
      <c r="P1374" t="s">
        <v>59</v>
      </c>
      <c r="Q1374" t="s">
        <v>108</v>
      </c>
      <c r="R1374" t="s">
        <v>2672</v>
      </c>
      <c r="S1374" s="1">
        <v>44397</v>
      </c>
      <c r="T1374" s="1">
        <v>44397</v>
      </c>
      <c r="U1374">
        <v>37501</v>
      </c>
      <c r="V1374" t="s">
        <v>61</v>
      </c>
      <c r="W1374" t="s">
        <v>2673</v>
      </c>
      <c r="X1374" s="1">
        <v>44398</v>
      </c>
      <c r="Y1374" t="s">
        <v>63</v>
      </c>
      <c r="Z1374">
        <v>326.86</v>
      </c>
      <c r="AA1374">
        <v>16</v>
      </c>
      <c r="AB1374">
        <v>20.14</v>
      </c>
      <c r="AC1374">
        <v>0</v>
      </c>
      <c r="AD1374">
        <v>347</v>
      </c>
      <c r="AE1374">
        <v>528</v>
      </c>
      <c r="AF1374">
        <v>545</v>
      </c>
      <c r="AG1374" t="s">
        <v>2633</v>
      </c>
      <c r="AH1374" t="s">
        <v>65</v>
      </c>
      <c r="AI1374" t="s">
        <v>65</v>
      </c>
      <c r="AJ1374" t="s">
        <v>66</v>
      </c>
      <c r="AK1374" t="s">
        <v>66</v>
      </c>
      <c r="AL1374" t="s">
        <v>66</v>
      </c>
      <c r="AM1374" s="2" t="str">
        <f>HYPERLINK("https://transparencia.cidesi.mx/comprobantes/2021/CQ2100539 /C2COMIDA_20_07_21_PDF_21C073317.pdf")</f>
        <v>https://transparencia.cidesi.mx/comprobantes/2021/CQ2100539 /C2COMIDA_20_07_21_PDF_21C073317.pdf</v>
      </c>
      <c r="AN1374" t="str">
        <f>HYPERLINK("https://transparencia.cidesi.mx/comprobantes/2021/CQ2100539 /C2COMIDA_20_07_21_PDF_21C073317.pdf")</f>
        <v>https://transparencia.cidesi.mx/comprobantes/2021/CQ2100539 /C2COMIDA_20_07_21_PDF_21C073317.pdf</v>
      </c>
      <c r="AO1374" t="str">
        <f>HYPERLINK("https://transparencia.cidesi.mx/comprobantes/2021/CQ2100539 /C2COMIDA_20_07_21_XML_21C073317.xml")</f>
        <v>https://transparencia.cidesi.mx/comprobantes/2021/CQ2100539 /C2COMIDA_20_07_21_XML_21C073317.xml</v>
      </c>
      <c r="AP1374" t="s">
        <v>2672</v>
      </c>
      <c r="AQ1374" t="s">
        <v>2672</v>
      </c>
      <c r="AR1374" t="s">
        <v>2641</v>
      </c>
      <c r="AS1374" t="s">
        <v>2636</v>
      </c>
      <c r="AT1374" s="1">
        <v>44399</v>
      </c>
      <c r="AU1374" s="1">
        <v>44403</v>
      </c>
    </row>
    <row r="1375" spans="1:47" x14ac:dyDescent="0.3">
      <c r="A1375" t="s">
        <v>79</v>
      </c>
      <c r="B1375" t="s">
        <v>80</v>
      </c>
      <c r="C1375" t="s">
        <v>81</v>
      </c>
      <c r="D1375">
        <v>100708</v>
      </c>
      <c r="E1375" t="s">
        <v>2627</v>
      </c>
      <c r="F1375" t="s">
        <v>2628</v>
      </c>
      <c r="G1375" t="s">
        <v>2629</v>
      </c>
      <c r="H1375" t="s">
        <v>2674</v>
      </c>
      <c r="I1375" t="s">
        <v>54</v>
      </c>
      <c r="J1375" t="s">
        <v>2675</v>
      </c>
      <c r="K1375" t="s">
        <v>56</v>
      </c>
      <c r="L1375">
        <v>0</v>
      </c>
      <c r="M1375" t="s">
        <v>73</v>
      </c>
      <c r="N1375">
        <v>0</v>
      </c>
      <c r="O1375" t="s">
        <v>58</v>
      </c>
      <c r="P1375" t="s">
        <v>59</v>
      </c>
      <c r="Q1375" t="s">
        <v>216</v>
      </c>
      <c r="R1375" t="s">
        <v>2675</v>
      </c>
      <c r="S1375" s="1">
        <v>44400</v>
      </c>
      <c r="T1375" s="1">
        <v>44400</v>
      </c>
      <c r="U1375">
        <v>37501</v>
      </c>
      <c r="V1375" t="s">
        <v>61</v>
      </c>
      <c r="W1375" t="s">
        <v>2676</v>
      </c>
      <c r="X1375" s="1">
        <v>44404</v>
      </c>
      <c r="Y1375" t="s">
        <v>63</v>
      </c>
      <c r="Z1375">
        <v>431.03</v>
      </c>
      <c r="AA1375">
        <v>16</v>
      </c>
      <c r="AB1375">
        <v>68.97</v>
      </c>
      <c r="AC1375">
        <v>0</v>
      </c>
      <c r="AD1375">
        <v>500</v>
      </c>
      <c r="AE1375">
        <v>500</v>
      </c>
      <c r="AF1375">
        <v>545</v>
      </c>
      <c r="AG1375" t="s">
        <v>2633</v>
      </c>
      <c r="AH1375" t="s">
        <v>65</v>
      </c>
      <c r="AI1375" t="s">
        <v>65</v>
      </c>
      <c r="AJ1375" t="s">
        <v>66</v>
      </c>
      <c r="AK1375" t="s">
        <v>66</v>
      </c>
      <c r="AL1375" t="s">
        <v>66</v>
      </c>
      <c r="AM1375" s="2" t="str">
        <f>HYPERLINK("https://transparencia.cidesi.mx/comprobantes/2021/CQ2100556 /C1BARBACOA23_07_21_PDF_Factura-A1016-BARBACOA MARTINEZ.pdf")</f>
        <v>https://transparencia.cidesi.mx/comprobantes/2021/CQ2100556 /C1BARBACOA23_07_21_PDF_Factura-A1016-BARBACOA MARTINEZ.pdf</v>
      </c>
      <c r="AN1375" t="str">
        <f>HYPERLINK("https://transparencia.cidesi.mx/comprobantes/2021/CQ2100556 /C1BARBACOA23_07_21_PDF_Factura-A1016-BARBACOA MARTINEZ.pdf")</f>
        <v>https://transparencia.cidesi.mx/comprobantes/2021/CQ2100556 /C1BARBACOA23_07_21_PDF_Factura-A1016-BARBACOA MARTINEZ.pdf</v>
      </c>
      <c r="AO1375" t="str">
        <f>HYPERLINK("https://transparencia.cidesi.mx/comprobantes/2021/CQ2100556 /C1BARBACOA_23_07_21_XML_Factura-A1016-BARBACOA MARTINEZ.xml")</f>
        <v>https://transparencia.cidesi.mx/comprobantes/2021/CQ2100556 /C1BARBACOA_23_07_21_XML_Factura-A1016-BARBACOA MARTINEZ.xml</v>
      </c>
      <c r="AP1375" t="s">
        <v>2675</v>
      </c>
      <c r="AQ1375" t="s">
        <v>2675</v>
      </c>
      <c r="AR1375" t="s">
        <v>2635</v>
      </c>
      <c r="AS1375" t="s">
        <v>2636</v>
      </c>
      <c r="AT1375" s="1">
        <v>44407</v>
      </c>
      <c r="AU1375" s="1">
        <v>44420</v>
      </c>
    </row>
    <row r="1376" spans="1:47" x14ac:dyDescent="0.3">
      <c r="A1376" t="s">
        <v>79</v>
      </c>
      <c r="B1376" t="s">
        <v>80</v>
      </c>
      <c r="C1376" t="s">
        <v>81</v>
      </c>
      <c r="D1376">
        <v>100708</v>
      </c>
      <c r="E1376" t="s">
        <v>2627</v>
      </c>
      <c r="F1376" t="s">
        <v>2628</v>
      </c>
      <c r="G1376" t="s">
        <v>2629</v>
      </c>
      <c r="H1376" t="s">
        <v>2677</v>
      </c>
      <c r="I1376" t="s">
        <v>54</v>
      </c>
      <c r="J1376" t="s">
        <v>2678</v>
      </c>
      <c r="K1376" t="s">
        <v>56</v>
      </c>
      <c r="L1376">
        <v>0</v>
      </c>
      <c r="M1376" t="s">
        <v>73</v>
      </c>
      <c r="N1376">
        <v>0</v>
      </c>
      <c r="O1376" t="s">
        <v>58</v>
      </c>
      <c r="P1376" t="s">
        <v>59</v>
      </c>
      <c r="Q1376" t="s">
        <v>87</v>
      </c>
      <c r="R1376" t="s">
        <v>2678</v>
      </c>
      <c r="S1376" s="1">
        <v>44401</v>
      </c>
      <c r="T1376" s="1">
        <v>44401</v>
      </c>
      <c r="U1376">
        <v>37501</v>
      </c>
      <c r="V1376" t="s">
        <v>61</v>
      </c>
      <c r="W1376" t="s">
        <v>2679</v>
      </c>
      <c r="X1376" s="1">
        <v>44404</v>
      </c>
      <c r="Y1376" t="s">
        <v>63</v>
      </c>
      <c r="Z1376">
        <v>468.97</v>
      </c>
      <c r="AA1376">
        <v>16</v>
      </c>
      <c r="AB1376">
        <v>75.03</v>
      </c>
      <c r="AC1376">
        <v>0</v>
      </c>
      <c r="AD1376">
        <v>544</v>
      </c>
      <c r="AE1376">
        <v>544</v>
      </c>
      <c r="AF1376">
        <v>545</v>
      </c>
      <c r="AG1376" t="s">
        <v>2633</v>
      </c>
      <c r="AH1376" t="s">
        <v>65</v>
      </c>
      <c r="AI1376" t="s">
        <v>65</v>
      </c>
      <c r="AJ1376" t="s">
        <v>66</v>
      </c>
      <c r="AK1376" t="s">
        <v>66</v>
      </c>
      <c r="AL1376" t="s">
        <v>66</v>
      </c>
      <c r="AM1376" s="2" t="str">
        <f>HYPERLINK("https://transparencia.cidesi.mx/comprobantes/2021/CQ2100557 /C1ALIMNETOS_24_07_21_PDF_21C073639.pdf")</f>
        <v>https://transparencia.cidesi.mx/comprobantes/2021/CQ2100557 /C1ALIMNETOS_24_07_21_PDF_21C073639.pdf</v>
      </c>
      <c r="AN1376" t="str">
        <f>HYPERLINK("https://transparencia.cidesi.mx/comprobantes/2021/CQ2100557 /C1ALIMNETOS_24_07_21_PDF_21C073639.pdf")</f>
        <v>https://transparencia.cidesi.mx/comprobantes/2021/CQ2100557 /C1ALIMNETOS_24_07_21_PDF_21C073639.pdf</v>
      </c>
      <c r="AO1376" t="str">
        <f>HYPERLINK("https://transparencia.cidesi.mx/comprobantes/2021/CQ2100557 /C1ALIMENTOS_24_07_21_XML_21C073639.xml")</f>
        <v>https://transparencia.cidesi.mx/comprobantes/2021/CQ2100557 /C1ALIMENTOS_24_07_21_XML_21C073639.xml</v>
      </c>
      <c r="AP1376" t="s">
        <v>2680</v>
      </c>
      <c r="AQ1376" t="s">
        <v>2680</v>
      </c>
      <c r="AR1376" t="s">
        <v>2635</v>
      </c>
      <c r="AS1376" t="s">
        <v>2681</v>
      </c>
      <c r="AT1376" s="1">
        <v>44407</v>
      </c>
      <c r="AU1376" s="1">
        <v>44420</v>
      </c>
    </row>
    <row r="1377" spans="1:47" x14ac:dyDescent="0.3">
      <c r="A1377" t="s">
        <v>79</v>
      </c>
      <c r="B1377" t="s">
        <v>80</v>
      </c>
      <c r="C1377" t="s">
        <v>81</v>
      </c>
      <c r="D1377">
        <v>100708</v>
      </c>
      <c r="E1377" t="s">
        <v>2627</v>
      </c>
      <c r="F1377" t="s">
        <v>2628</v>
      </c>
      <c r="G1377" t="s">
        <v>2629</v>
      </c>
      <c r="H1377" t="s">
        <v>2682</v>
      </c>
      <c r="I1377" t="s">
        <v>54</v>
      </c>
      <c r="J1377" t="s">
        <v>2683</v>
      </c>
      <c r="K1377" t="s">
        <v>56</v>
      </c>
      <c r="L1377">
        <v>0</v>
      </c>
      <c r="M1377" t="s">
        <v>73</v>
      </c>
      <c r="N1377">
        <v>0</v>
      </c>
      <c r="O1377" t="s">
        <v>58</v>
      </c>
      <c r="P1377" t="s">
        <v>59</v>
      </c>
      <c r="Q1377" t="s">
        <v>60</v>
      </c>
      <c r="R1377" t="s">
        <v>2683</v>
      </c>
      <c r="S1377" s="1">
        <v>44403</v>
      </c>
      <c r="T1377" s="1">
        <v>44403</v>
      </c>
      <c r="U1377">
        <v>37501</v>
      </c>
      <c r="V1377" t="s">
        <v>61</v>
      </c>
      <c r="W1377" t="s">
        <v>2684</v>
      </c>
      <c r="X1377" s="1">
        <v>44404</v>
      </c>
      <c r="Y1377" t="s">
        <v>63</v>
      </c>
      <c r="Z1377">
        <v>42.24</v>
      </c>
      <c r="AA1377">
        <v>16</v>
      </c>
      <c r="AB1377">
        <v>6.76</v>
      </c>
      <c r="AC1377">
        <v>0</v>
      </c>
      <c r="AD1377">
        <v>49</v>
      </c>
      <c r="AE1377">
        <v>533.1</v>
      </c>
      <c r="AF1377">
        <v>545</v>
      </c>
      <c r="AG1377" t="s">
        <v>2633</v>
      </c>
      <c r="AH1377" t="s">
        <v>65</v>
      </c>
      <c r="AI1377" t="s">
        <v>65</v>
      </c>
      <c r="AJ1377" t="s">
        <v>66</v>
      </c>
      <c r="AK1377" t="s">
        <v>66</v>
      </c>
      <c r="AL1377" t="s">
        <v>66</v>
      </c>
      <c r="AM1377" s="2" t="str">
        <f>HYPERLINK("https://transparencia.cidesi.mx/comprobantes/2021/CQ2100552 /C1STARBUCKS1_26_07_21_PDF_69294128.pdf")</f>
        <v>https://transparencia.cidesi.mx/comprobantes/2021/CQ2100552 /C1STARBUCKS1_26_07_21_PDF_69294128.pdf</v>
      </c>
      <c r="AN1377" t="str">
        <f>HYPERLINK("https://transparencia.cidesi.mx/comprobantes/2021/CQ2100552 /C1STARBUCKS1_26_07_21_PDF_69294128.pdf")</f>
        <v>https://transparencia.cidesi.mx/comprobantes/2021/CQ2100552 /C1STARBUCKS1_26_07_21_PDF_69294128.pdf</v>
      </c>
      <c r="AO1377" t="str">
        <f>HYPERLINK("https://transparencia.cidesi.mx/comprobantes/2021/CQ2100552 /C1STARBUCKS1_26_07_21_XML_69294128.xml")</f>
        <v>https://transparencia.cidesi.mx/comprobantes/2021/CQ2100552 /C1STARBUCKS1_26_07_21_XML_69294128.xml</v>
      </c>
      <c r="AP1377" t="s">
        <v>2685</v>
      </c>
      <c r="AQ1377" t="s">
        <v>2683</v>
      </c>
      <c r="AR1377" t="s">
        <v>2641</v>
      </c>
      <c r="AS1377" t="s">
        <v>2636</v>
      </c>
      <c r="AT1377" s="1">
        <v>44407</v>
      </c>
      <c r="AU1377" s="1">
        <v>44420</v>
      </c>
    </row>
    <row r="1378" spans="1:47" x14ac:dyDescent="0.3">
      <c r="A1378" t="s">
        <v>79</v>
      </c>
      <c r="B1378" t="s">
        <v>80</v>
      </c>
      <c r="C1378" t="s">
        <v>81</v>
      </c>
      <c r="D1378">
        <v>100708</v>
      </c>
      <c r="E1378" t="s">
        <v>2627</v>
      </c>
      <c r="F1378" t="s">
        <v>2628</v>
      </c>
      <c r="G1378" t="s">
        <v>2629</v>
      </c>
      <c r="H1378" t="s">
        <v>2682</v>
      </c>
      <c r="I1378" t="s">
        <v>54</v>
      </c>
      <c r="J1378" t="s">
        <v>2683</v>
      </c>
      <c r="K1378" t="s">
        <v>56</v>
      </c>
      <c r="L1378">
        <v>0</v>
      </c>
      <c r="M1378" t="s">
        <v>73</v>
      </c>
      <c r="N1378">
        <v>0</v>
      </c>
      <c r="O1378" t="s">
        <v>58</v>
      </c>
      <c r="P1378" t="s">
        <v>59</v>
      </c>
      <c r="Q1378" t="s">
        <v>60</v>
      </c>
      <c r="R1378" t="s">
        <v>2683</v>
      </c>
      <c r="S1378" s="1">
        <v>44403</v>
      </c>
      <c r="T1378" s="1">
        <v>44403</v>
      </c>
      <c r="U1378">
        <v>37501</v>
      </c>
      <c r="V1378" t="s">
        <v>61</v>
      </c>
      <c r="W1378" t="s">
        <v>2684</v>
      </c>
      <c r="X1378" s="1">
        <v>44404</v>
      </c>
      <c r="Y1378" t="s">
        <v>63</v>
      </c>
      <c r="Z1378">
        <v>302.58999999999997</v>
      </c>
      <c r="AA1378">
        <v>16</v>
      </c>
      <c r="AB1378">
        <v>48.41</v>
      </c>
      <c r="AC1378">
        <v>35.1</v>
      </c>
      <c r="AD1378">
        <v>386.1</v>
      </c>
      <c r="AE1378">
        <v>533.1</v>
      </c>
      <c r="AF1378">
        <v>545</v>
      </c>
      <c r="AG1378" t="s">
        <v>2633</v>
      </c>
      <c r="AH1378" t="s">
        <v>65</v>
      </c>
      <c r="AI1378" t="s">
        <v>65</v>
      </c>
      <c r="AJ1378" t="s">
        <v>66</v>
      </c>
      <c r="AK1378" t="s">
        <v>66</v>
      </c>
      <c r="AL1378" t="s">
        <v>66</v>
      </c>
      <c r="AM1378" s="2" t="str">
        <f>HYPERLINK("https://transparencia.cidesi.mx/comprobantes/2021/CQ2100552 /C2PDF__20799.pdf")</f>
        <v>https://transparencia.cidesi.mx/comprobantes/2021/CQ2100552 /C2PDF__20799.pdf</v>
      </c>
      <c r="AN1378" t="str">
        <f>HYPERLINK("https://transparencia.cidesi.mx/comprobantes/2021/CQ2100552 /C2PDF__20799.pdf")</f>
        <v>https://transparencia.cidesi.mx/comprobantes/2021/CQ2100552 /C2PDF__20799.pdf</v>
      </c>
      <c r="AO1378" t="str">
        <f>HYPERLINK("https://transparencia.cidesi.mx/comprobantes/2021/CQ2100552 /C2TIMBRADO__20799.xml")</f>
        <v>https://transparencia.cidesi.mx/comprobantes/2021/CQ2100552 /C2TIMBRADO__20799.xml</v>
      </c>
      <c r="AP1378" t="s">
        <v>2685</v>
      </c>
      <c r="AQ1378" t="s">
        <v>2683</v>
      </c>
      <c r="AR1378" t="s">
        <v>2641</v>
      </c>
      <c r="AS1378" t="s">
        <v>2636</v>
      </c>
      <c r="AT1378" s="1">
        <v>44407</v>
      </c>
      <c r="AU1378" s="1">
        <v>44420</v>
      </c>
    </row>
    <row r="1379" spans="1:47" x14ac:dyDescent="0.3">
      <c r="A1379" t="s">
        <v>79</v>
      </c>
      <c r="B1379" t="s">
        <v>80</v>
      </c>
      <c r="C1379" t="s">
        <v>81</v>
      </c>
      <c r="D1379">
        <v>100708</v>
      </c>
      <c r="E1379" t="s">
        <v>2627</v>
      </c>
      <c r="F1379" t="s">
        <v>2628</v>
      </c>
      <c r="G1379" t="s">
        <v>2629</v>
      </c>
      <c r="H1379" t="s">
        <v>2682</v>
      </c>
      <c r="I1379" t="s">
        <v>54</v>
      </c>
      <c r="J1379" t="s">
        <v>2683</v>
      </c>
      <c r="K1379" t="s">
        <v>56</v>
      </c>
      <c r="L1379">
        <v>0</v>
      </c>
      <c r="M1379" t="s">
        <v>73</v>
      </c>
      <c r="N1379">
        <v>0</v>
      </c>
      <c r="O1379" t="s">
        <v>58</v>
      </c>
      <c r="P1379" t="s">
        <v>59</v>
      </c>
      <c r="Q1379" t="s">
        <v>60</v>
      </c>
      <c r="R1379" t="s">
        <v>2683</v>
      </c>
      <c r="S1379" s="1">
        <v>44403</v>
      </c>
      <c r="T1379" s="1">
        <v>44403</v>
      </c>
      <c r="U1379">
        <v>37501</v>
      </c>
      <c r="V1379" t="s">
        <v>61</v>
      </c>
      <c r="W1379" t="s">
        <v>2684</v>
      </c>
      <c r="X1379" s="1">
        <v>44404</v>
      </c>
      <c r="Y1379" t="s">
        <v>63</v>
      </c>
      <c r="Z1379">
        <v>84.48</v>
      </c>
      <c r="AA1379">
        <v>16</v>
      </c>
      <c r="AB1379">
        <v>13.52</v>
      </c>
      <c r="AC1379">
        <v>0</v>
      </c>
      <c r="AD1379">
        <v>98</v>
      </c>
      <c r="AE1379">
        <v>533.1</v>
      </c>
      <c r="AF1379">
        <v>545</v>
      </c>
      <c r="AG1379" t="s">
        <v>2633</v>
      </c>
      <c r="AH1379" t="s">
        <v>65</v>
      </c>
      <c r="AI1379" t="s">
        <v>65</v>
      </c>
      <c r="AJ1379" t="s">
        <v>66</v>
      </c>
      <c r="AK1379" t="s">
        <v>66</v>
      </c>
      <c r="AL1379" t="s">
        <v>66</v>
      </c>
      <c r="AM1379" s="2" t="str">
        <f>HYPERLINK("https://transparencia.cidesi.mx/comprobantes/2021/CQ2100552 /C3STARBUCKS_26_07_21_PDF_69294084.pdf")</f>
        <v>https://transparencia.cidesi.mx/comprobantes/2021/CQ2100552 /C3STARBUCKS_26_07_21_PDF_69294084.pdf</v>
      </c>
      <c r="AN1379" t="str">
        <f>HYPERLINK("https://transparencia.cidesi.mx/comprobantes/2021/CQ2100552 /C3STARBUCKS_26_07_21_PDF_69294084.pdf")</f>
        <v>https://transparencia.cidesi.mx/comprobantes/2021/CQ2100552 /C3STARBUCKS_26_07_21_PDF_69294084.pdf</v>
      </c>
      <c r="AO1379" t="str">
        <f>HYPERLINK("https://transparencia.cidesi.mx/comprobantes/2021/CQ2100552 /C3STARBUCKS_26_07_21_XML_69294084.xml")</f>
        <v>https://transparencia.cidesi.mx/comprobantes/2021/CQ2100552 /C3STARBUCKS_26_07_21_XML_69294084.xml</v>
      </c>
      <c r="AP1379" t="s">
        <v>2685</v>
      </c>
      <c r="AQ1379" t="s">
        <v>2683</v>
      </c>
      <c r="AR1379" t="s">
        <v>2641</v>
      </c>
      <c r="AS1379" t="s">
        <v>2636</v>
      </c>
      <c r="AT1379" s="1">
        <v>44407</v>
      </c>
      <c r="AU1379" s="1">
        <v>44420</v>
      </c>
    </row>
    <row r="1380" spans="1:47" x14ac:dyDescent="0.3">
      <c r="A1380" t="s">
        <v>79</v>
      </c>
      <c r="B1380" t="s">
        <v>80</v>
      </c>
      <c r="C1380" t="s">
        <v>81</v>
      </c>
      <c r="D1380">
        <v>100708</v>
      </c>
      <c r="E1380" t="s">
        <v>2627</v>
      </c>
      <c r="F1380" t="s">
        <v>2628</v>
      </c>
      <c r="G1380" t="s">
        <v>2629</v>
      </c>
      <c r="H1380" t="s">
        <v>2686</v>
      </c>
      <c r="I1380" t="s">
        <v>54</v>
      </c>
      <c r="J1380" t="s">
        <v>2687</v>
      </c>
      <c r="K1380" t="s">
        <v>56</v>
      </c>
      <c r="L1380">
        <v>0</v>
      </c>
      <c r="M1380" t="s">
        <v>73</v>
      </c>
      <c r="N1380">
        <v>0</v>
      </c>
      <c r="O1380" t="s">
        <v>58</v>
      </c>
      <c r="P1380" t="s">
        <v>59</v>
      </c>
      <c r="Q1380" t="s">
        <v>60</v>
      </c>
      <c r="R1380" t="s">
        <v>2687</v>
      </c>
      <c r="S1380" s="1">
        <v>44404</v>
      </c>
      <c r="T1380" s="1">
        <v>44404</v>
      </c>
      <c r="U1380">
        <v>37501</v>
      </c>
      <c r="V1380" t="s">
        <v>61</v>
      </c>
      <c r="W1380" t="s">
        <v>2688</v>
      </c>
      <c r="X1380" s="1">
        <v>44404</v>
      </c>
      <c r="Y1380" t="s">
        <v>63</v>
      </c>
      <c r="Z1380">
        <v>416.38</v>
      </c>
      <c r="AA1380">
        <v>16</v>
      </c>
      <c r="AB1380">
        <v>66.62</v>
      </c>
      <c r="AC1380">
        <v>0</v>
      </c>
      <c r="AD1380">
        <v>483</v>
      </c>
      <c r="AE1380">
        <v>483</v>
      </c>
      <c r="AF1380">
        <v>545</v>
      </c>
      <c r="AG1380" t="s">
        <v>2633</v>
      </c>
      <c r="AH1380" t="s">
        <v>65</v>
      </c>
      <c r="AI1380" t="s">
        <v>65</v>
      </c>
      <c r="AJ1380" t="s">
        <v>66</v>
      </c>
      <c r="AK1380" t="s">
        <v>66</v>
      </c>
      <c r="AL1380" t="s">
        <v>66</v>
      </c>
      <c r="AM1380" s="2" t="str">
        <f>HYPERLINK("https://transparencia.cidesi.mx/comprobantes/2021/CQ2100558 /C1ALIMENTOS_27_07_21_PDF_21C073833.pdf")</f>
        <v>https://transparencia.cidesi.mx/comprobantes/2021/CQ2100558 /C1ALIMENTOS_27_07_21_PDF_21C073833.pdf</v>
      </c>
      <c r="AN1380" t="str">
        <f>HYPERLINK("https://transparencia.cidesi.mx/comprobantes/2021/CQ2100558 /C1ALIMENTOS_27_07_21_PDF_21C073833.pdf")</f>
        <v>https://transparencia.cidesi.mx/comprobantes/2021/CQ2100558 /C1ALIMENTOS_27_07_21_PDF_21C073833.pdf</v>
      </c>
      <c r="AO1380" t="str">
        <f>HYPERLINK("https://transparencia.cidesi.mx/comprobantes/2021/CQ2100558 /C1ALIMENTOS_27_07_21_XML_21C073833.xml")</f>
        <v>https://transparencia.cidesi.mx/comprobantes/2021/CQ2100558 /C1ALIMENTOS_27_07_21_XML_21C073833.xml</v>
      </c>
      <c r="AP1380" t="s">
        <v>2687</v>
      </c>
      <c r="AQ1380" t="s">
        <v>2687</v>
      </c>
      <c r="AR1380" t="s">
        <v>2635</v>
      </c>
      <c r="AS1380" t="s">
        <v>2636</v>
      </c>
      <c r="AT1380" s="1">
        <v>44407</v>
      </c>
      <c r="AU1380" s="1">
        <v>44420</v>
      </c>
    </row>
    <row r="1381" spans="1:47" x14ac:dyDescent="0.3">
      <c r="A1381" t="s">
        <v>79</v>
      </c>
      <c r="B1381" t="s">
        <v>80</v>
      </c>
      <c r="C1381" t="s">
        <v>81</v>
      </c>
      <c r="D1381">
        <v>100708</v>
      </c>
      <c r="E1381" t="s">
        <v>2627</v>
      </c>
      <c r="F1381" t="s">
        <v>2628</v>
      </c>
      <c r="G1381" t="s">
        <v>2629</v>
      </c>
      <c r="H1381" t="s">
        <v>2689</v>
      </c>
      <c r="I1381" t="s">
        <v>54</v>
      </c>
      <c r="J1381" t="s">
        <v>2690</v>
      </c>
      <c r="K1381" t="s">
        <v>56</v>
      </c>
      <c r="L1381">
        <v>0</v>
      </c>
      <c r="M1381" t="s">
        <v>73</v>
      </c>
      <c r="N1381">
        <v>0</v>
      </c>
      <c r="O1381" t="s">
        <v>58</v>
      </c>
      <c r="P1381" t="s">
        <v>59</v>
      </c>
      <c r="Q1381" t="s">
        <v>60</v>
      </c>
      <c r="R1381" t="s">
        <v>2690</v>
      </c>
      <c r="S1381" s="1">
        <v>44405</v>
      </c>
      <c r="T1381" s="1">
        <v>44405</v>
      </c>
      <c r="U1381">
        <v>37501</v>
      </c>
      <c r="V1381" t="s">
        <v>61</v>
      </c>
      <c r="W1381" t="s">
        <v>2691</v>
      </c>
      <c r="X1381" s="1">
        <v>44405</v>
      </c>
      <c r="Y1381" t="s">
        <v>63</v>
      </c>
      <c r="Z1381">
        <v>138.79</v>
      </c>
      <c r="AA1381">
        <v>16</v>
      </c>
      <c r="AB1381">
        <v>22.21</v>
      </c>
      <c r="AC1381">
        <v>16</v>
      </c>
      <c r="AD1381">
        <v>177</v>
      </c>
      <c r="AE1381">
        <v>500</v>
      </c>
      <c r="AF1381">
        <v>545</v>
      </c>
      <c r="AG1381" t="s">
        <v>2633</v>
      </c>
      <c r="AH1381" t="s">
        <v>65</v>
      </c>
      <c r="AI1381" t="s">
        <v>65</v>
      </c>
      <c r="AJ1381" t="s">
        <v>66</v>
      </c>
      <c r="AK1381" t="s">
        <v>66</v>
      </c>
      <c r="AL1381" t="s">
        <v>66</v>
      </c>
      <c r="AM1381" s="2" t="str">
        <f>HYPERLINK("https://transparencia.cidesi.mx/comprobantes/2021/CQ2100563 /C1SANMBORS_28_07_21_PDF_FTDA-4397847.pdf")</f>
        <v>https://transparencia.cidesi.mx/comprobantes/2021/CQ2100563 /C1SANMBORS_28_07_21_PDF_FTDA-4397847.pdf</v>
      </c>
      <c r="AN1381" t="str">
        <f>HYPERLINK("https://transparencia.cidesi.mx/comprobantes/2021/CQ2100563 /C1SANMBORS_28_07_21_PDF_FTDA-4397847.pdf")</f>
        <v>https://transparencia.cidesi.mx/comprobantes/2021/CQ2100563 /C1SANMBORS_28_07_21_PDF_FTDA-4397847.pdf</v>
      </c>
      <c r="AO1381" t="str">
        <f>HYPERLINK("https://transparencia.cidesi.mx/comprobantes/2021/CQ2100563 /C1SANMBORNS_28_07_21_XML_FTDA-4397847.xml")</f>
        <v>https://transparencia.cidesi.mx/comprobantes/2021/CQ2100563 /C1SANMBORNS_28_07_21_XML_FTDA-4397847.xml</v>
      </c>
      <c r="AP1381" t="s">
        <v>2692</v>
      </c>
      <c r="AQ1381" t="s">
        <v>2693</v>
      </c>
      <c r="AR1381" t="s">
        <v>2641</v>
      </c>
      <c r="AS1381" t="s">
        <v>2636</v>
      </c>
      <c r="AT1381" s="1">
        <v>44407</v>
      </c>
      <c r="AU1381" s="1">
        <v>44420</v>
      </c>
    </row>
    <row r="1382" spans="1:47" x14ac:dyDescent="0.3">
      <c r="A1382" t="s">
        <v>79</v>
      </c>
      <c r="B1382" t="s">
        <v>80</v>
      </c>
      <c r="C1382" t="s">
        <v>81</v>
      </c>
      <c r="D1382">
        <v>100708</v>
      </c>
      <c r="E1382" t="s">
        <v>2627</v>
      </c>
      <c r="F1382" t="s">
        <v>2628</v>
      </c>
      <c r="G1382" t="s">
        <v>2629</v>
      </c>
      <c r="H1382" t="s">
        <v>2689</v>
      </c>
      <c r="I1382" t="s">
        <v>54</v>
      </c>
      <c r="J1382" t="s">
        <v>2690</v>
      </c>
      <c r="K1382" t="s">
        <v>56</v>
      </c>
      <c r="L1382">
        <v>0</v>
      </c>
      <c r="M1382" t="s">
        <v>73</v>
      </c>
      <c r="N1382">
        <v>0</v>
      </c>
      <c r="O1382" t="s">
        <v>58</v>
      </c>
      <c r="P1382" t="s">
        <v>59</v>
      </c>
      <c r="Q1382" t="s">
        <v>60</v>
      </c>
      <c r="R1382" t="s">
        <v>2690</v>
      </c>
      <c r="S1382" s="1">
        <v>44405</v>
      </c>
      <c r="T1382" s="1">
        <v>44405</v>
      </c>
      <c r="U1382">
        <v>37501</v>
      </c>
      <c r="V1382" t="s">
        <v>61</v>
      </c>
      <c r="W1382" t="s">
        <v>2691</v>
      </c>
      <c r="X1382" s="1">
        <v>44405</v>
      </c>
      <c r="Y1382" t="s">
        <v>63</v>
      </c>
      <c r="Z1382">
        <v>318.02999999999997</v>
      </c>
      <c r="AA1382">
        <v>16</v>
      </c>
      <c r="AB1382">
        <v>4.97</v>
      </c>
      <c r="AC1382">
        <v>0</v>
      </c>
      <c r="AD1382">
        <v>323</v>
      </c>
      <c r="AE1382">
        <v>500</v>
      </c>
      <c r="AF1382">
        <v>545</v>
      </c>
      <c r="AG1382" t="s">
        <v>2633</v>
      </c>
      <c r="AH1382" t="s">
        <v>65</v>
      </c>
      <c r="AI1382" t="s">
        <v>65</v>
      </c>
      <c r="AJ1382" t="s">
        <v>66</v>
      </c>
      <c r="AK1382" t="s">
        <v>66</v>
      </c>
      <c r="AL1382" t="s">
        <v>66</v>
      </c>
      <c r="AM1382" s="2" t="str">
        <f>HYPERLINK("https://transparencia.cidesi.mx/comprobantes/2021/CQ2100563 /C2COMIDA_28_07_21_PDF_21C073913.pdf")</f>
        <v>https://transparencia.cidesi.mx/comprobantes/2021/CQ2100563 /C2COMIDA_28_07_21_PDF_21C073913.pdf</v>
      </c>
      <c r="AN1382" t="str">
        <f>HYPERLINK("https://transparencia.cidesi.mx/comprobantes/2021/CQ2100563 /C2COMIDA_28_07_21_PDF_21C073913.pdf")</f>
        <v>https://transparencia.cidesi.mx/comprobantes/2021/CQ2100563 /C2COMIDA_28_07_21_PDF_21C073913.pdf</v>
      </c>
      <c r="AO1382" t="str">
        <f>HYPERLINK("https://transparencia.cidesi.mx/comprobantes/2021/CQ2100563 /C2COMIDA_28_07_21_XML_21C073913.xml")</f>
        <v>https://transparencia.cidesi.mx/comprobantes/2021/CQ2100563 /C2COMIDA_28_07_21_XML_21C073913.xml</v>
      </c>
      <c r="AP1382" t="s">
        <v>2692</v>
      </c>
      <c r="AQ1382" t="s">
        <v>2693</v>
      </c>
      <c r="AR1382" t="s">
        <v>2641</v>
      </c>
      <c r="AS1382" t="s">
        <v>2636</v>
      </c>
      <c r="AT1382" s="1">
        <v>44407</v>
      </c>
      <c r="AU1382" s="1">
        <v>44420</v>
      </c>
    </row>
    <row r="1383" spans="1:47" x14ac:dyDescent="0.3">
      <c r="A1383" t="s">
        <v>79</v>
      </c>
      <c r="B1383" t="s">
        <v>80</v>
      </c>
      <c r="C1383" t="s">
        <v>81</v>
      </c>
      <c r="D1383">
        <v>100708</v>
      </c>
      <c r="E1383" t="s">
        <v>2627</v>
      </c>
      <c r="F1383" t="s">
        <v>2628</v>
      </c>
      <c r="G1383" t="s">
        <v>2629</v>
      </c>
      <c r="H1383" t="s">
        <v>2694</v>
      </c>
      <c r="I1383" t="s">
        <v>54</v>
      </c>
      <c r="J1383" t="s">
        <v>2695</v>
      </c>
      <c r="K1383" t="s">
        <v>56</v>
      </c>
      <c r="L1383">
        <v>0</v>
      </c>
      <c r="M1383" t="s">
        <v>73</v>
      </c>
      <c r="N1383">
        <v>0</v>
      </c>
      <c r="O1383" t="s">
        <v>58</v>
      </c>
      <c r="P1383" t="s">
        <v>59</v>
      </c>
      <c r="Q1383" t="s">
        <v>60</v>
      </c>
      <c r="R1383" t="s">
        <v>2695</v>
      </c>
      <c r="S1383" s="1">
        <v>44411</v>
      </c>
      <c r="T1383" s="1">
        <v>44411</v>
      </c>
      <c r="U1383">
        <v>37501</v>
      </c>
      <c r="V1383" t="s">
        <v>61</v>
      </c>
      <c r="W1383" t="s">
        <v>2696</v>
      </c>
      <c r="X1383" s="1">
        <v>44413</v>
      </c>
      <c r="Y1383" t="s">
        <v>63</v>
      </c>
      <c r="Z1383">
        <v>0.1</v>
      </c>
      <c r="AA1383">
        <v>0</v>
      </c>
      <c r="AB1383">
        <v>0</v>
      </c>
      <c r="AC1383">
        <v>0</v>
      </c>
      <c r="AD1383">
        <v>0.1</v>
      </c>
      <c r="AE1383">
        <v>0.1</v>
      </c>
      <c r="AF1383">
        <v>545</v>
      </c>
      <c r="AG1383" t="s">
        <v>2633</v>
      </c>
      <c r="AH1383" t="s">
        <v>66</v>
      </c>
      <c r="AI1383" t="s">
        <v>66</v>
      </c>
      <c r="AJ1383" t="s">
        <v>66</v>
      </c>
      <c r="AK1383" t="s">
        <v>66</v>
      </c>
      <c r="AL1383" t="s">
        <v>66</v>
      </c>
      <c r="AM1383" s="2" t="s">
        <v>73</v>
      </c>
      <c r="AN1383" t="s">
        <v>73</v>
      </c>
      <c r="AO1383" t="s">
        <v>73</v>
      </c>
      <c r="AP1383" t="s">
        <v>2697</v>
      </c>
      <c r="AQ1383" t="s">
        <v>2697</v>
      </c>
      <c r="AR1383" t="s">
        <v>2697</v>
      </c>
      <c r="AS1383" t="s">
        <v>2697</v>
      </c>
      <c r="AT1383" s="1">
        <v>44418</v>
      </c>
      <c r="AU1383" s="1">
        <v>44424</v>
      </c>
    </row>
    <row r="1384" spans="1:47" x14ac:dyDescent="0.3">
      <c r="A1384" t="s">
        <v>79</v>
      </c>
      <c r="B1384" t="s">
        <v>80</v>
      </c>
      <c r="C1384" t="s">
        <v>81</v>
      </c>
      <c r="D1384">
        <v>100708</v>
      </c>
      <c r="E1384" t="s">
        <v>2627</v>
      </c>
      <c r="F1384" t="s">
        <v>2628</v>
      </c>
      <c r="G1384" t="s">
        <v>2629</v>
      </c>
      <c r="H1384" t="s">
        <v>2698</v>
      </c>
      <c r="I1384" t="s">
        <v>54</v>
      </c>
      <c r="J1384" t="s">
        <v>2699</v>
      </c>
      <c r="K1384" t="s">
        <v>56</v>
      </c>
      <c r="L1384">
        <v>0</v>
      </c>
      <c r="M1384" t="s">
        <v>73</v>
      </c>
      <c r="N1384">
        <v>0</v>
      </c>
      <c r="O1384" t="s">
        <v>58</v>
      </c>
      <c r="P1384" t="s">
        <v>59</v>
      </c>
      <c r="Q1384" t="s">
        <v>60</v>
      </c>
      <c r="R1384" t="s">
        <v>2699</v>
      </c>
      <c r="S1384" s="1">
        <v>44412</v>
      </c>
      <c r="T1384" s="1">
        <v>44412</v>
      </c>
      <c r="U1384">
        <v>37501</v>
      </c>
      <c r="V1384" t="s">
        <v>61</v>
      </c>
      <c r="W1384" t="s">
        <v>2700</v>
      </c>
      <c r="X1384" s="1">
        <v>44413</v>
      </c>
      <c r="Y1384" t="s">
        <v>63</v>
      </c>
      <c r="Z1384">
        <v>492.03</v>
      </c>
      <c r="AA1384">
        <v>16</v>
      </c>
      <c r="AB1384">
        <v>20.97</v>
      </c>
      <c r="AC1384">
        <v>0</v>
      </c>
      <c r="AD1384">
        <v>513</v>
      </c>
      <c r="AE1384">
        <v>513</v>
      </c>
      <c r="AF1384">
        <v>545</v>
      </c>
      <c r="AG1384" t="s">
        <v>2633</v>
      </c>
      <c r="AH1384" t="s">
        <v>65</v>
      </c>
      <c r="AI1384" t="s">
        <v>65</v>
      </c>
      <c r="AJ1384" t="s">
        <v>66</v>
      </c>
      <c r="AK1384" t="s">
        <v>66</v>
      </c>
      <c r="AL1384" t="s">
        <v>66</v>
      </c>
      <c r="AM1384" s="2" t="str">
        <f>HYPERLINK("https://transparencia.cidesi.mx/comprobantes/2021/CQ2100609 /C121C074517.pdf")</f>
        <v>https://transparencia.cidesi.mx/comprobantes/2021/CQ2100609 /C121C074517.pdf</v>
      </c>
      <c r="AN1384" t="str">
        <f>HYPERLINK("https://transparencia.cidesi.mx/comprobantes/2021/CQ2100609 /C121C074517.pdf")</f>
        <v>https://transparencia.cidesi.mx/comprobantes/2021/CQ2100609 /C121C074517.pdf</v>
      </c>
      <c r="AO1384" t="str">
        <f>HYPERLINK("https://transparencia.cidesi.mx/comprobantes/2021/CQ2100609 /C121C074517.xml")</f>
        <v>https://transparencia.cidesi.mx/comprobantes/2021/CQ2100609 /C121C074517.xml</v>
      </c>
      <c r="AP1384" t="s">
        <v>2699</v>
      </c>
      <c r="AQ1384" t="s">
        <v>2699</v>
      </c>
      <c r="AR1384" t="s">
        <v>2635</v>
      </c>
      <c r="AS1384" t="s">
        <v>2701</v>
      </c>
      <c r="AT1384" s="1">
        <v>44418</v>
      </c>
      <c r="AU1384" s="1">
        <v>44420</v>
      </c>
    </row>
    <row r="1385" spans="1:47" x14ac:dyDescent="0.3">
      <c r="A1385" t="s">
        <v>79</v>
      </c>
      <c r="B1385" t="s">
        <v>80</v>
      </c>
      <c r="C1385" t="s">
        <v>81</v>
      </c>
      <c r="D1385">
        <v>100708</v>
      </c>
      <c r="E1385" t="s">
        <v>2627</v>
      </c>
      <c r="F1385" t="s">
        <v>2628</v>
      </c>
      <c r="G1385" t="s">
        <v>2629</v>
      </c>
      <c r="H1385" t="s">
        <v>2702</v>
      </c>
      <c r="I1385" t="s">
        <v>54</v>
      </c>
      <c r="J1385" t="s">
        <v>2703</v>
      </c>
      <c r="K1385" t="s">
        <v>56</v>
      </c>
      <c r="L1385">
        <v>0</v>
      </c>
      <c r="M1385" t="s">
        <v>73</v>
      </c>
      <c r="N1385">
        <v>0</v>
      </c>
      <c r="O1385" t="s">
        <v>58</v>
      </c>
      <c r="P1385" t="s">
        <v>59</v>
      </c>
      <c r="Q1385" t="s">
        <v>60</v>
      </c>
      <c r="R1385" t="s">
        <v>2703</v>
      </c>
      <c r="S1385" s="1">
        <v>44417</v>
      </c>
      <c r="T1385" s="1">
        <v>44417</v>
      </c>
      <c r="U1385">
        <v>37501</v>
      </c>
      <c r="V1385" t="s">
        <v>61</v>
      </c>
      <c r="W1385" t="s">
        <v>2704</v>
      </c>
      <c r="X1385" s="1">
        <v>44419</v>
      </c>
      <c r="Y1385" t="s">
        <v>63</v>
      </c>
      <c r="Z1385">
        <v>156.88999999999999</v>
      </c>
      <c r="AA1385">
        <v>16</v>
      </c>
      <c r="AB1385">
        <v>25.11</v>
      </c>
      <c r="AC1385">
        <v>18.2</v>
      </c>
      <c r="AD1385">
        <v>200.2</v>
      </c>
      <c r="AE1385">
        <v>526.20000000000005</v>
      </c>
      <c r="AF1385">
        <v>545</v>
      </c>
      <c r="AG1385" t="s">
        <v>2633</v>
      </c>
      <c r="AH1385" t="s">
        <v>65</v>
      </c>
      <c r="AI1385" t="s">
        <v>65</v>
      </c>
      <c r="AJ1385" t="s">
        <v>66</v>
      </c>
      <c r="AK1385" t="s">
        <v>66</v>
      </c>
      <c r="AL1385" t="s">
        <v>66</v>
      </c>
      <c r="AM1385" s="2" t="str">
        <f>HYPERLINK("https://transparencia.cidesi.mx/comprobantes/2021/CQ2100631 /C1BISQUETS_09_08_21_PDF_MSG_004625942_BI_24743.pdf")</f>
        <v>https://transparencia.cidesi.mx/comprobantes/2021/CQ2100631 /C1BISQUETS_09_08_21_PDF_MSG_004625942_BI_24743.pdf</v>
      </c>
      <c r="AN1385" t="str">
        <f>HYPERLINK("https://transparencia.cidesi.mx/comprobantes/2021/CQ2100631 /C1BISQUETS_09_08_21_PDF_MSG_004625942_BI_24743.pdf")</f>
        <v>https://transparencia.cidesi.mx/comprobantes/2021/CQ2100631 /C1BISQUETS_09_08_21_PDF_MSG_004625942_BI_24743.pdf</v>
      </c>
      <c r="AO1385" t="str">
        <f>HYPERLINK("https://transparencia.cidesi.mx/comprobantes/2021/CQ2100631 /C1BISQUETS_09_08_21_XML_MSG_004625942_BI_24743.xml")</f>
        <v>https://transparencia.cidesi.mx/comprobantes/2021/CQ2100631 /C1BISQUETS_09_08_21_XML_MSG_004625942_BI_24743.xml</v>
      </c>
      <c r="AP1385" t="s">
        <v>2705</v>
      </c>
      <c r="AQ1385" t="s">
        <v>2703</v>
      </c>
      <c r="AR1385" t="s">
        <v>2641</v>
      </c>
      <c r="AS1385" t="s">
        <v>2636</v>
      </c>
      <c r="AT1385" s="1">
        <v>44420</v>
      </c>
      <c r="AU1385" s="1">
        <v>44424</v>
      </c>
    </row>
    <row r="1386" spans="1:47" x14ac:dyDescent="0.3">
      <c r="A1386" t="s">
        <v>79</v>
      </c>
      <c r="B1386" t="s">
        <v>80</v>
      </c>
      <c r="C1386" t="s">
        <v>81</v>
      </c>
      <c r="D1386">
        <v>100708</v>
      </c>
      <c r="E1386" t="s">
        <v>2627</v>
      </c>
      <c r="F1386" t="s">
        <v>2628</v>
      </c>
      <c r="G1386" t="s">
        <v>2629</v>
      </c>
      <c r="H1386" t="s">
        <v>2702</v>
      </c>
      <c r="I1386" t="s">
        <v>54</v>
      </c>
      <c r="J1386" t="s">
        <v>2703</v>
      </c>
      <c r="K1386" t="s">
        <v>56</v>
      </c>
      <c r="L1386">
        <v>0</v>
      </c>
      <c r="M1386" t="s">
        <v>73</v>
      </c>
      <c r="N1386">
        <v>0</v>
      </c>
      <c r="O1386" t="s">
        <v>58</v>
      </c>
      <c r="P1386" t="s">
        <v>59</v>
      </c>
      <c r="Q1386" t="s">
        <v>60</v>
      </c>
      <c r="R1386" t="s">
        <v>2703</v>
      </c>
      <c r="S1386" s="1">
        <v>44417</v>
      </c>
      <c r="T1386" s="1">
        <v>44417</v>
      </c>
      <c r="U1386">
        <v>37501</v>
      </c>
      <c r="V1386" t="s">
        <v>61</v>
      </c>
      <c r="W1386" t="s">
        <v>2704</v>
      </c>
      <c r="X1386" s="1">
        <v>44419</v>
      </c>
      <c r="Y1386" t="s">
        <v>63</v>
      </c>
      <c r="Z1386">
        <v>281.02999999999997</v>
      </c>
      <c r="AA1386">
        <v>16</v>
      </c>
      <c r="AB1386">
        <v>44.97</v>
      </c>
      <c r="AC1386">
        <v>0</v>
      </c>
      <c r="AD1386">
        <v>326</v>
      </c>
      <c r="AE1386">
        <v>526.20000000000005</v>
      </c>
      <c r="AF1386">
        <v>545</v>
      </c>
      <c r="AG1386" t="s">
        <v>2633</v>
      </c>
      <c r="AH1386" t="s">
        <v>65</v>
      </c>
      <c r="AI1386" t="s">
        <v>66</v>
      </c>
      <c r="AJ1386" t="s">
        <v>66</v>
      </c>
      <c r="AK1386" t="s">
        <v>66</v>
      </c>
      <c r="AL1386" t="s">
        <v>66</v>
      </c>
      <c r="AM1386" s="2" t="s">
        <v>73</v>
      </c>
      <c r="AN1386" t="s">
        <v>73</v>
      </c>
      <c r="AO1386" t="s">
        <v>73</v>
      </c>
      <c r="AP1386" t="s">
        <v>2705</v>
      </c>
      <c r="AQ1386" t="s">
        <v>2703</v>
      </c>
      <c r="AR1386" t="s">
        <v>2641</v>
      </c>
      <c r="AS1386" t="s">
        <v>2636</v>
      </c>
      <c r="AT1386" s="1">
        <v>44420</v>
      </c>
      <c r="AU1386" s="1">
        <v>44424</v>
      </c>
    </row>
    <row r="1387" spans="1:47" x14ac:dyDescent="0.3">
      <c r="A1387" t="s">
        <v>79</v>
      </c>
      <c r="B1387" t="s">
        <v>80</v>
      </c>
      <c r="C1387" t="s">
        <v>81</v>
      </c>
      <c r="D1387">
        <v>100708</v>
      </c>
      <c r="E1387" t="s">
        <v>2627</v>
      </c>
      <c r="F1387" t="s">
        <v>2628</v>
      </c>
      <c r="G1387" t="s">
        <v>2629</v>
      </c>
      <c r="H1387" t="s">
        <v>2706</v>
      </c>
      <c r="I1387" t="s">
        <v>54</v>
      </c>
      <c r="J1387" t="s">
        <v>2707</v>
      </c>
      <c r="K1387" t="s">
        <v>56</v>
      </c>
      <c r="L1387">
        <v>0</v>
      </c>
      <c r="M1387" t="s">
        <v>73</v>
      </c>
      <c r="N1387">
        <v>0</v>
      </c>
      <c r="O1387" t="s">
        <v>58</v>
      </c>
      <c r="P1387" t="s">
        <v>59</v>
      </c>
      <c r="Q1387" t="s">
        <v>60</v>
      </c>
      <c r="R1387" t="s">
        <v>2707</v>
      </c>
      <c r="S1387" s="1">
        <v>44418</v>
      </c>
      <c r="T1387" s="1">
        <v>44418</v>
      </c>
      <c r="U1387">
        <v>37501</v>
      </c>
      <c r="V1387" t="s">
        <v>61</v>
      </c>
      <c r="W1387" t="s">
        <v>2708</v>
      </c>
      <c r="X1387" s="1">
        <v>44419</v>
      </c>
      <c r="Y1387" t="s">
        <v>63</v>
      </c>
      <c r="Z1387">
        <v>156.9</v>
      </c>
      <c r="AA1387">
        <v>16</v>
      </c>
      <c r="AB1387">
        <v>25.1</v>
      </c>
      <c r="AC1387">
        <v>0.1</v>
      </c>
      <c r="AD1387">
        <v>182.1</v>
      </c>
      <c r="AE1387">
        <v>499.1</v>
      </c>
      <c r="AF1387">
        <v>545</v>
      </c>
      <c r="AG1387" t="s">
        <v>2633</v>
      </c>
      <c r="AH1387" t="s">
        <v>65</v>
      </c>
      <c r="AI1387" t="s">
        <v>65</v>
      </c>
      <c r="AJ1387" t="s">
        <v>66</v>
      </c>
      <c r="AK1387" t="s">
        <v>66</v>
      </c>
      <c r="AL1387" t="s">
        <v>66</v>
      </c>
      <c r="AM1387" s="2" t="str">
        <f>HYPERLINK("https://transparencia.cidesi.mx/comprobantes/2021/CQ2100632 /C1DESAYUNO_10_08_21_PDF_RLI930128AI5CFDI-560083.pdf")</f>
        <v>https://transparencia.cidesi.mx/comprobantes/2021/CQ2100632 /C1DESAYUNO_10_08_21_PDF_RLI930128AI5CFDI-560083.pdf</v>
      </c>
      <c r="AN1387" t="str">
        <f>HYPERLINK("https://transparencia.cidesi.mx/comprobantes/2021/CQ2100632 /C1DESAYUNO_10_08_21_PDF_RLI930128AI5CFDI-560083.pdf")</f>
        <v>https://transparencia.cidesi.mx/comprobantes/2021/CQ2100632 /C1DESAYUNO_10_08_21_PDF_RLI930128AI5CFDI-560083.pdf</v>
      </c>
      <c r="AO1387" t="str">
        <f>HYPERLINK("https://transparencia.cidesi.mx/comprobantes/2021/CQ2100632 /C1DESAYUNO_10_08_21_XML_RLI930128AI5CFDI-560083.xml")</f>
        <v>https://transparencia.cidesi.mx/comprobantes/2021/CQ2100632 /C1DESAYUNO_10_08_21_XML_RLI930128AI5CFDI-560083.xml</v>
      </c>
      <c r="AP1387" t="s">
        <v>2709</v>
      </c>
      <c r="AQ1387" t="s">
        <v>2707</v>
      </c>
      <c r="AR1387" t="s">
        <v>2641</v>
      </c>
      <c r="AS1387" t="s">
        <v>2636</v>
      </c>
      <c r="AT1387" s="1">
        <v>44420</v>
      </c>
      <c r="AU1387" s="1">
        <v>44420</v>
      </c>
    </row>
    <row r="1388" spans="1:47" x14ac:dyDescent="0.3">
      <c r="A1388" t="s">
        <v>79</v>
      </c>
      <c r="B1388" t="s">
        <v>80</v>
      </c>
      <c r="C1388" t="s">
        <v>81</v>
      </c>
      <c r="D1388">
        <v>100708</v>
      </c>
      <c r="E1388" t="s">
        <v>2627</v>
      </c>
      <c r="F1388" t="s">
        <v>2628</v>
      </c>
      <c r="G1388" t="s">
        <v>2629</v>
      </c>
      <c r="H1388" t="s">
        <v>2706</v>
      </c>
      <c r="I1388" t="s">
        <v>54</v>
      </c>
      <c r="J1388" t="s">
        <v>2707</v>
      </c>
      <c r="K1388" t="s">
        <v>56</v>
      </c>
      <c r="L1388">
        <v>0</v>
      </c>
      <c r="M1388" t="s">
        <v>73</v>
      </c>
      <c r="N1388">
        <v>0</v>
      </c>
      <c r="O1388" t="s">
        <v>58</v>
      </c>
      <c r="P1388" t="s">
        <v>59</v>
      </c>
      <c r="Q1388" t="s">
        <v>60</v>
      </c>
      <c r="R1388" t="s">
        <v>2707</v>
      </c>
      <c r="S1388" s="1">
        <v>44418</v>
      </c>
      <c r="T1388" s="1">
        <v>44418</v>
      </c>
      <c r="U1388">
        <v>37501</v>
      </c>
      <c r="V1388" t="s">
        <v>61</v>
      </c>
      <c r="W1388" t="s">
        <v>2708</v>
      </c>
      <c r="X1388" s="1">
        <v>44419</v>
      </c>
      <c r="Y1388" t="s">
        <v>63</v>
      </c>
      <c r="Z1388">
        <v>299.33999999999997</v>
      </c>
      <c r="AA1388">
        <v>16</v>
      </c>
      <c r="AB1388">
        <v>17.66</v>
      </c>
      <c r="AC1388">
        <v>0</v>
      </c>
      <c r="AD1388">
        <v>317</v>
      </c>
      <c r="AE1388">
        <v>499.1</v>
      </c>
      <c r="AF1388">
        <v>545</v>
      </c>
      <c r="AG1388" t="s">
        <v>2633</v>
      </c>
      <c r="AH1388" t="s">
        <v>65</v>
      </c>
      <c r="AI1388" t="s">
        <v>65</v>
      </c>
      <c r="AJ1388" t="s">
        <v>66</v>
      </c>
      <c r="AK1388" t="s">
        <v>66</v>
      </c>
      <c r="AL1388" t="s">
        <v>66</v>
      </c>
      <c r="AM1388" s="2" t="str">
        <f>HYPERLINK("https://transparencia.cidesi.mx/comprobantes/2021/CQ2100632 /C2ALIMENTOS_10_08_21_PDF_21C074917.pdf")</f>
        <v>https://transparencia.cidesi.mx/comprobantes/2021/CQ2100632 /C2ALIMENTOS_10_08_21_PDF_21C074917.pdf</v>
      </c>
      <c r="AN1388" t="str">
        <f>HYPERLINK("https://transparencia.cidesi.mx/comprobantes/2021/CQ2100632 /C2ALIMENTOS_10_08_21_PDF_21C074917.pdf")</f>
        <v>https://transparencia.cidesi.mx/comprobantes/2021/CQ2100632 /C2ALIMENTOS_10_08_21_PDF_21C074917.pdf</v>
      </c>
      <c r="AO1388" t="str">
        <f>HYPERLINK("https://transparencia.cidesi.mx/comprobantes/2021/CQ2100632 /C2ALIMENTOS_10_08_21_XML_21C074917.xml")</f>
        <v>https://transparencia.cidesi.mx/comprobantes/2021/CQ2100632 /C2ALIMENTOS_10_08_21_XML_21C074917.xml</v>
      </c>
      <c r="AP1388" t="s">
        <v>2709</v>
      </c>
      <c r="AQ1388" t="s">
        <v>2707</v>
      </c>
      <c r="AR1388" t="s">
        <v>2641</v>
      </c>
      <c r="AS1388" t="s">
        <v>2636</v>
      </c>
      <c r="AT1388" s="1">
        <v>44420</v>
      </c>
      <c r="AU1388" s="1">
        <v>44420</v>
      </c>
    </row>
    <row r="1389" spans="1:47" x14ac:dyDescent="0.3">
      <c r="A1389" t="s">
        <v>79</v>
      </c>
      <c r="B1389" t="s">
        <v>80</v>
      </c>
      <c r="C1389" t="s">
        <v>81</v>
      </c>
      <c r="D1389">
        <v>100708</v>
      </c>
      <c r="E1389" t="s">
        <v>2627</v>
      </c>
      <c r="F1389" t="s">
        <v>2628</v>
      </c>
      <c r="G1389" t="s">
        <v>2629</v>
      </c>
      <c r="H1389" t="s">
        <v>2710</v>
      </c>
      <c r="I1389" t="s">
        <v>54</v>
      </c>
      <c r="J1389" t="s">
        <v>2711</v>
      </c>
      <c r="K1389" t="s">
        <v>56</v>
      </c>
      <c r="L1389">
        <v>0</v>
      </c>
      <c r="M1389" t="s">
        <v>73</v>
      </c>
      <c r="N1389">
        <v>0</v>
      </c>
      <c r="O1389" t="s">
        <v>58</v>
      </c>
      <c r="P1389" t="s">
        <v>59</v>
      </c>
      <c r="Q1389" t="s">
        <v>60</v>
      </c>
      <c r="R1389" t="s">
        <v>2711</v>
      </c>
      <c r="S1389" s="1">
        <v>44421</v>
      </c>
      <c r="T1389" s="1">
        <v>44421</v>
      </c>
      <c r="U1389">
        <v>37501</v>
      </c>
      <c r="V1389" t="s">
        <v>61</v>
      </c>
      <c r="W1389" t="s">
        <v>2712</v>
      </c>
      <c r="X1389" s="1">
        <v>44425</v>
      </c>
      <c r="Y1389" t="s">
        <v>63</v>
      </c>
      <c r="Z1389">
        <v>332.76</v>
      </c>
      <c r="AA1389">
        <v>16</v>
      </c>
      <c r="AB1389">
        <v>53.24</v>
      </c>
      <c r="AC1389">
        <v>0</v>
      </c>
      <c r="AD1389">
        <v>386</v>
      </c>
      <c r="AE1389">
        <v>545</v>
      </c>
      <c r="AF1389">
        <v>545</v>
      </c>
      <c r="AG1389" t="s">
        <v>2633</v>
      </c>
      <c r="AH1389" t="s">
        <v>65</v>
      </c>
      <c r="AI1389" t="s">
        <v>65</v>
      </c>
      <c r="AJ1389" t="s">
        <v>66</v>
      </c>
      <c r="AK1389" t="s">
        <v>66</v>
      </c>
      <c r="AL1389" t="s">
        <v>66</v>
      </c>
      <c r="AM1389" s="2" t="str">
        <f>HYPERLINK("https://transparencia.cidesi.mx/comprobantes/2021/CQ2100659 /C1ALIMENTOS_13_08_21_PDF_21C075193.pdf")</f>
        <v>https://transparencia.cidesi.mx/comprobantes/2021/CQ2100659 /C1ALIMENTOS_13_08_21_PDF_21C075193.pdf</v>
      </c>
      <c r="AN1389" t="str">
        <f>HYPERLINK("https://transparencia.cidesi.mx/comprobantes/2021/CQ2100659 /C1ALIMENTOS_13_08_21_PDF_21C075193.pdf")</f>
        <v>https://transparencia.cidesi.mx/comprobantes/2021/CQ2100659 /C1ALIMENTOS_13_08_21_PDF_21C075193.pdf</v>
      </c>
      <c r="AO1389" t="str">
        <f>HYPERLINK("https://transparencia.cidesi.mx/comprobantes/2021/CQ2100659 /C1ALIMENTOS_13_08_21_XML_21C075193.xml")</f>
        <v>https://transparencia.cidesi.mx/comprobantes/2021/CQ2100659 /C1ALIMENTOS_13_08_21_XML_21C075193.xml</v>
      </c>
      <c r="AP1389" t="s">
        <v>2713</v>
      </c>
      <c r="AQ1389" t="s">
        <v>2711</v>
      </c>
      <c r="AR1389" t="s">
        <v>2635</v>
      </c>
      <c r="AS1389" t="s">
        <v>2636</v>
      </c>
      <c r="AT1389" s="1">
        <v>44427</v>
      </c>
      <c r="AU1389" s="1">
        <v>44428</v>
      </c>
    </row>
    <row r="1390" spans="1:47" x14ac:dyDescent="0.3">
      <c r="A1390" t="s">
        <v>79</v>
      </c>
      <c r="B1390" t="s">
        <v>80</v>
      </c>
      <c r="C1390" t="s">
        <v>81</v>
      </c>
      <c r="D1390">
        <v>100708</v>
      </c>
      <c r="E1390" t="s">
        <v>2627</v>
      </c>
      <c r="F1390" t="s">
        <v>2628</v>
      </c>
      <c r="G1390" t="s">
        <v>2629</v>
      </c>
      <c r="H1390" t="s">
        <v>2710</v>
      </c>
      <c r="I1390" t="s">
        <v>54</v>
      </c>
      <c r="J1390" t="s">
        <v>2711</v>
      </c>
      <c r="K1390" t="s">
        <v>56</v>
      </c>
      <c r="L1390">
        <v>0</v>
      </c>
      <c r="M1390" t="s">
        <v>73</v>
      </c>
      <c r="N1390">
        <v>0</v>
      </c>
      <c r="O1390" t="s">
        <v>58</v>
      </c>
      <c r="P1390" t="s">
        <v>59</v>
      </c>
      <c r="Q1390" t="s">
        <v>60</v>
      </c>
      <c r="R1390" t="s">
        <v>2711</v>
      </c>
      <c r="S1390" s="1">
        <v>44421</v>
      </c>
      <c r="T1390" s="1">
        <v>44421</v>
      </c>
      <c r="U1390">
        <v>37501</v>
      </c>
      <c r="V1390" t="s">
        <v>61</v>
      </c>
      <c r="W1390" t="s">
        <v>2712</v>
      </c>
      <c r="X1390" s="1">
        <v>44425</v>
      </c>
      <c r="Y1390" t="s">
        <v>63</v>
      </c>
      <c r="Z1390">
        <v>137.07</v>
      </c>
      <c r="AA1390">
        <v>16</v>
      </c>
      <c r="AB1390">
        <v>21.93</v>
      </c>
      <c r="AC1390">
        <v>0</v>
      </c>
      <c r="AD1390">
        <v>159</v>
      </c>
      <c r="AE1390">
        <v>545</v>
      </c>
      <c r="AF1390">
        <v>545</v>
      </c>
      <c r="AG1390" t="s">
        <v>2633</v>
      </c>
      <c r="AH1390" t="s">
        <v>65</v>
      </c>
      <c r="AI1390" t="s">
        <v>65</v>
      </c>
      <c r="AJ1390" t="s">
        <v>66</v>
      </c>
      <c r="AK1390" t="s">
        <v>66</v>
      </c>
      <c r="AL1390" t="s">
        <v>66</v>
      </c>
      <c r="AM1390" s="2" t="str">
        <f>HYPERLINK("https://transparencia.cidesi.mx/comprobantes/2021/CQ2100659 /C2DESAYUNO_13_08_21_PDF_RLI930128AI5CFDI-560638.pdf")</f>
        <v>https://transparencia.cidesi.mx/comprobantes/2021/CQ2100659 /C2DESAYUNO_13_08_21_PDF_RLI930128AI5CFDI-560638.pdf</v>
      </c>
      <c r="AN1390" t="str">
        <f>HYPERLINK("https://transparencia.cidesi.mx/comprobantes/2021/CQ2100659 /C2DESAYUNO_13_08_21_PDF_RLI930128AI5CFDI-560638.pdf")</f>
        <v>https://transparencia.cidesi.mx/comprobantes/2021/CQ2100659 /C2DESAYUNO_13_08_21_PDF_RLI930128AI5CFDI-560638.pdf</v>
      </c>
      <c r="AO1390" t="str">
        <f>HYPERLINK("https://transparencia.cidesi.mx/comprobantes/2021/CQ2100659 /C2DESAYUNO_13_08_21_XML_RLI930128AI5CFDI-560638.xml")</f>
        <v>https://transparencia.cidesi.mx/comprobantes/2021/CQ2100659 /C2DESAYUNO_13_08_21_XML_RLI930128AI5CFDI-560638.xml</v>
      </c>
      <c r="AP1390" t="s">
        <v>2713</v>
      </c>
      <c r="AQ1390" t="s">
        <v>2711</v>
      </c>
      <c r="AR1390" t="s">
        <v>2635</v>
      </c>
      <c r="AS1390" t="s">
        <v>2636</v>
      </c>
      <c r="AT1390" s="1">
        <v>44427</v>
      </c>
      <c r="AU1390" s="1">
        <v>44428</v>
      </c>
    </row>
    <row r="1391" spans="1:47" x14ac:dyDescent="0.3">
      <c r="A1391" t="s">
        <v>79</v>
      </c>
      <c r="B1391" t="s">
        <v>80</v>
      </c>
      <c r="C1391" t="s">
        <v>81</v>
      </c>
      <c r="D1391">
        <v>100708</v>
      </c>
      <c r="E1391" t="s">
        <v>2627</v>
      </c>
      <c r="F1391" t="s">
        <v>2628</v>
      </c>
      <c r="G1391" t="s">
        <v>2629</v>
      </c>
      <c r="H1391" t="s">
        <v>2714</v>
      </c>
      <c r="I1391" t="s">
        <v>54</v>
      </c>
      <c r="J1391" t="s">
        <v>2715</v>
      </c>
      <c r="K1391" t="s">
        <v>56</v>
      </c>
      <c r="L1391">
        <v>0</v>
      </c>
      <c r="M1391" t="s">
        <v>73</v>
      </c>
      <c r="N1391">
        <v>0</v>
      </c>
      <c r="O1391" t="s">
        <v>58</v>
      </c>
      <c r="P1391" t="s">
        <v>59</v>
      </c>
      <c r="Q1391" t="s">
        <v>60</v>
      </c>
      <c r="R1391" t="s">
        <v>2715</v>
      </c>
      <c r="S1391" s="1">
        <v>44423</v>
      </c>
      <c r="T1391" s="1">
        <v>44423</v>
      </c>
      <c r="U1391">
        <v>37501</v>
      </c>
      <c r="V1391" t="s">
        <v>61</v>
      </c>
      <c r="W1391" t="s">
        <v>2716</v>
      </c>
      <c r="X1391" s="1">
        <v>44425</v>
      </c>
      <c r="Y1391" t="s">
        <v>63</v>
      </c>
      <c r="Z1391">
        <v>459.48</v>
      </c>
      <c r="AA1391">
        <v>16</v>
      </c>
      <c r="AB1391">
        <v>73.52</v>
      </c>
      <c r="AC1391">
        <v>0</v>
      </c>
      <c r="AD1391">
        <v>533</v>
      </c>
      <c r="AE1391">
        <v>533</v>
      </c>
      <c r="AF1391">
        <v>545</v>
      </c>
      <c r="AG1391" t="s">
        <v>2633</v>
      </c>
      <c r="AH1391" t="s">
        <v>65</v>
      </c>
      <c r="AI1391" t="s">
        <v>65</v>
      </c>
      <c r="AJ1391" t="s">
        <v>66</v>
      </c>
      <c r="AK1391" t="s">
        <v>66</v>
      </c>
      <c r="AL1391" t="s">
        <v>66</v>
      </c>
      <c r="AM1391" s="2" t="str">
        <f>HYPERLINK("https://transparencia.cidesi.mx/comprobantes/2021/CQ2100658 /C1COMIDA_15_08_21_PDF_21C075276.pdf")</f>
        <v>https://transparencia.cidesi.mx/comprobantes/2021/CQ2100658 /C1COMIDA_15_08_21_PDF_21C075276.pdf</v>
      </c>
      <c r="AN1391" t="str">
        <f>HYPERLINK("https://transparencia.cidesi.mx/comprobantes/2021/CQ2100658 /C1COMIDA_15_08_21_PDF_21C075276.pdf")</f>
        <v>https://transparencia.cidesi.mx/comprobantes/2021/CQ2100658 /C1COMIDA_15_08_21_PDF_21C075276.pdf</v>
      </c>
      <c r="AO1391" t="str">
        <f>HYPERLINK("https://transparencia.cidesi.mx/comprobantes/2021/CQ2100658 /C1COMIDA_15_08_21_XML_21C075276.xml")</f>
        <v>https://transparencia.cidesi.mx/comprobantes/2021/CQ2100658 /C1COMIDA_15_08_21_XML_21C075276.xml</v>
      </c>
      <c r="AP1391" t="s">
        <v>2717</v>
      </c>
      <c r="AQ1391" t="s">
        <v>2717</v>
      </c>
      <c r="AR1391" t="s">
        <v>2641</v>
      </c>
      <c r="AS1391" t="s">
        <v>2701</v>
      </c>
      <c r="AT1391" s="1">
        <v>44427</v>
      </c>
      <c r="AU1391" s="1">
        <v>44432</v>
      </c>
    </row>
    <row r="1392" spans="1:47" x14ac:dyDescent="0.3">
      <c r="A1392" t="s">
        <v>79</v>
      </c>
      <c r="B1392" t="s">
        <v>80</v>
      </c>
      <c r="C1392" t="s">
        <v>81</v>
      </c>
      <c r="D1392">
        <v>100708</v>
      </c>
      <c r="E1392" t="s">
        <v>2627</v>
      </c>
      <c r="F1392" t="s">
        <v>2628</v>
      </c>
      <c r="G1392" t="s">
        <v>2629</v>
      </c>
      <c r="H1392" t="s">
        <v>2718</v>
      </c>
      <c r="I1392" t="s">
        <v>54</v>
      </c>
      <c r="J1392" t="s">
        <v>2719</v>
      </c>
      <c r="K1392" t="s">
        <v>56</v>
      </c>
      <c r="L1392">
        <v>0</v>
      </c>
      <c r="M1392" t="s">
        <v>73</v>
      </c>
      <c r="N1392">
        <v>0</v>
      </c>
      <c r="O1392" t="s">
        <v>58</v>
      </c>
      <c r="P1392" t="s">
        <v>59</v>
      </c>
      <c r="Q1392" t="s">
        <v>60</v>
      </c>
      <c r="R1392" t="s">
        <v>2719</v>
      </c>
      <c r="S1392" s="1">
        <v>44424</v>
      </c>
      <c r="T1392" s="1">
        <v>44424</v>
      </c>
      <c r="U1392">
        <v>37501</v>
      </c>
      <c r="V1392" t="s">
        <v>61</v>
      </c>
      <c r="W1392" t="s">
        <v>2720</v>
      </c>
      <c r="X1392" s="1">
        <v>44425</v>
      </c>
      <c r="Y1392" t="s">
        <v>63</v>
      </c>
      <c r="Z1392">
        <v>112.07</v>
      </c>
      <c r="AA1392">
        <v>16</v>
      </c>
      <c r="AB1392">
        <v>17.93</v>
      </c>
      <c r="AC1392">
        <v>0</v>
      </c>
      <c r="AD1392">
        <v>130</v>
      </c>
      <c r="AE1392">
        <v>514</v>
      </c>
      <c r="AF1392">
        <v>545</v>
      </c>
      <c r="AG1392" t="s">
        <v>2633</v>
      </c>
      <c r="AH1392" t="s">
        <v>65</v>
      </c>
      <c r="AI1392" t="s">
        <v>65</v>
      </c>
      <c r="AJ1392" t="s">
        <v>66</v>
      </c>
      <c r="AK1392" t="s">
        <v>66</v>
      </c>
      <c r="AL1392" t="s">
        <v>66</v>
      </c>
      <c r="AM1392" s="2" t="str">
        <f>HYPERLINK("https://transparencia.cidesi.mx/comprobantes/2021/CQ2100660 /C1SANMBORS_16_08_21_PDF_FTDA-4445950.pdf")</f>
        <v>https://transparencia.cidesi.mx/comprobantes/2021/CQ2100660 /C1SANMBORS_16_08_21_PDF_FTDA-4445950.pdf</v>
      </c>
      <c r="AN1392" t="str">
        <f>HYPERLINK("https://transparencia.cidesi.mx/comprobantes/2021/CQ2100660 /C1SANMBORS_16_08_21_PDF_FTDA-4445950.pdf")</f>
        <v>https://transparencia.cidesi.mx/comprobantes/2021/CQ2100660 /C1SANMBORS_16_08_21_PDF_FTDA-4445950.pdf</v>
      </c>
      <c r="AO1392" t="str">
        <f>HYPERLINK("https://transparencia.cidesi.mx/comprobantes/2021/CQ2100660 /C1SANMBORS_16_08_21_XML_FTDA-4445950.xml")</f>
        <v>https://transparencia.cidesi.mx/comprobantes/2021/CQ2100660 /C1SANMBORS_16_08_21_XML_FTDA-4445950.xml</v>
      </c>
      <c r="AP1392" t="s">
        <v>2721</v>
      </c>
      <c r="AQ1392" t="s">
        <v>2719</v>
      </c>
      <c r="AR1392" t="s">
        <v>2635</v>
      </c>
      <c r="AS1392" t="s">
        <v>2636</v>
      </c>
      <c r="AT1392" s="1">
        <v>44427</v>
      </c>
      <c r="AU1392" s="1">
        <v>44432</v>
      </c>
    </row>
    <row r="1393" spans="1:47" x14ac:dyDescent="0.3">
      <c r="A1393" t="s">
        <v>79</v>
      </c>
      <c r="B1393" t="s">
        <v>80</v>
      </c>
      <c r="C1393" t="s">
        <v>81</v>
      </c>
      <c r="D1393">
        <v>100708</v>
      </c>
      <c r="E1393" t="s">
        <v>2627</v>
      </c>
      <c r="F1393" t="s">
        <v>2628</v>
      </c>
      <c r="G1393" t="s">
        <v>2629</v>
      </c>
      <c r="H1393" t="s">
        <v>2718</v>
      </c>
      <c r="I1393" t="s">
        <v>54</v>
      </c>
      <c r="J1393" t="s">
        <v>2719</v>
      </c>
      <c r="K1393" t="s">
        <v>56</v>
      </c>
      <c r="L1393">
        <v>0</v>
      </c>
      <c r="M1393" t="s">
        <v>73</v>
      </c>
      <c r="N1393">
        <v>0</v>
      </c>
      <c r="O1393" t="s">
        <v>58</v>
      </c>
      <c r="P1393" t="s">
        <v>59</v>
      </c>
      <c r="Q1393" t="s">
        <v>60</v>
      </c>
      <c r="R1393" t="s">
        <v>2719</v>
      </c>
      <c r="S1393" s="1">
        <v>44424</v>
      </c>
      <c r="T1393" s="1">
        <v>44424</v>
      </c>
      <c r="U1393">
        <v>37501</v>
      </c>
      <c r="V1393" t="s">
        <v>61</v>
      </c>
      <c r="W1393" t="s">
        <v>2720</v>
      </c>
      <c r="X1393" s="1">
        <v>44425</v>
      </c>
      <c r="Y1393" t="s">
        <v>63</v>
      </c>
      <c r="Z1393">
        <v>338.48</v>
      </c>
      <c r="AA1393">
        <v>16</v>
      </c>
      <c r="AB1393">
        <v>45.52</v>
      </c>
      <c r="AC1393">
        <v>0</v>
      </c>
      <c r="AD1393">
        <v>384</v>
      </c>
      <c r="AE1393">
        <v>514</v>
      </c>
      <c r="AF1393">
        <v>545</v>
      </c>
      <c r="AG1393" t="s">
        <v>2633</v>
      </c>
      <c r="AH1393" t="s">
        <v>65</v>
      </c>
      <c r="AI1393" t="s">
        <v>65</v>
      </c>
      <c r="AJ1393" t="s">
        <v>66</v>
      </c>
      <c r="AK1393" t="s">
        <v>66</v>
      </c>
      <c r="AL1393" t="s">
        <v>66</v>
      </c>
      <c r="AM1393" s="2" t="str">
        <f>HYPERLINK("https://transparencia.cidesi.mx/comprobantes/2021/CQ2100660 /C2ALIMENTOS_16_08_21_PDF-21C075338.pdf")</f>
        <v>https://transparencia.cidesi.mx/comprobantes/2021/CQ2100660 /C2ALIMENTOS_16_08_21_PDF-21C075338.pdf</v>
      </c>
      <c r="AN1393" t="str">
        <f>HYPERLINK("https://transparencia.cidesi.mx/comprobantes/2021/CQ2100660 /C2ALIMENTOS_16_08_21_PDF-21C075338.pdf")</f>
        <v>https://transparencia.cidesi.mx/comprobantes/2021/CQ2100660 /C2ALIMENTOS_16_08_21_PDF-21C075338.pdf</v>
      </c>
      <c r="AO1393" t="str">
        <f>HYPERLINK("https://transparencia.cidesi.mx/comprobantes/2021/CQ2100660 /C2ALIMENTOS_16_08_21_21C075338.xml")</f>
        <v>https://transparencia.cidesi.mx/comprobantes/2021/CQ2100660 /C2ALIMENTOS_16_08_21_21C075338.xml</v>
      </c>
      <c r="AP1393" t="s">
        <v>2721</v>
      </c>
      <c r="AQ1393" t="s">
        <v>2719</v>
      </c>
      <c r="AR1393" t="s">
        <v>2635</v>
      </c>
      <c r="AS1393" t="s">
        <v>2636</v>
      </c>
      <c r="AT1393" s="1">
        <v>44427</v>
      </c>
      <c r="AU1393" s="1">
        <v>44432</v>
      </c>
    </row>
    <row r="1394" spans="1:47" x14ac:dyDescent="0.3">
      <c r="A1394" t="s">
        <v>79</v>
      </c>
      <c r="B1394" t="s">
        <v>80</v>
      </c>
      <c r="C1394" t="s">
        <v>81</v>
      </c>
      <c r="D1394">
        <v>100708</v>
      </c>
      <c r="E1394" t="s">
        <v>2627</v>
      </c>
      <c r="F1394" t="s">
        <v>2628</v>
      </c>
      <c r="G1394" t="s">
        <v>2629</v>
      </c>
      <c r="H1394" t="s">
        <v>2722</v>
      </c>
      <c r="I1394" t="s">
        <v>54</v>
      </c>
      <c r="J1394" t="s">
        <v>2723</v>
      </c>
      <c r="K1394" t="s">
        <v>56</v>
      </c>
      <c r="L1394">
        <v>0</v>
      </c>
      <c r="M1394" t="s">
        <v>73</v>
      </c>
      <c r="N1394">
        <v>0</v>
      </c>
      <c r="O1394" t="s">
        <v>58</v>
      </c>
      <c r="P1394" t="s">
        <v>59</v>
      </c>
      <c r="Q1394" t="s">
        <v>60</v>
      </c>
      <c r="R1394" t="s">
        <v>2723</v>
      </c>
      <c r="S1394" s="1">
        <v>44426</v>
      </c>
      <c r="T1394" s="1">
        <v>44426</v>
      </c>
      <c r="U1394">
        <v>37501</v>
      </c>
      <c r="V1394" t="s">
        <v>61</v>
      </c>
      <c r="W1394" t="s">
        <v>2724</v>
      </c>
      <c r="X1394" s="1">
        <v>44431</v>
      </c>
      <c r="Y1394" t="s">
        <v>63</v>
      </c>
      <c r="Z1394">
        <v>344.84</v>
      </c>
      <c r="AA1394">
        <v>16</v>
      </c>
      <c r="AB1394">
        <v>55.17</v>
      </c>
      <c r="AC1394">
        <v>40</v>
      </c>
      <c r="AD1394">
        <v>440.01</v>
      </c>
      <c r="AE1394">
        <v>490.01</v>
      </c>
      <c r="AF1394">
        <v>545</v>
      </c>
      <c r="AG1394" t="s">
        <v>2633</v>
      </c>
      <c r="AH1394" t="s">
        <v>65</v>
      </c>
      <c r="AI1394" t="s">
        <v>65</v>
      </c>
      <c r="AJ1394" t="s">
        <v>66</v>
      </c>
      <c r="AK1394" t="s">
        <v>66</v>
      </c>
      <c r="AL1394" t="s">
        <v>66</v>
      </c>
      <c r="AM1394" s="2" t="str">
        <f>HYPERLINK("https://transparencia.cidesi.mx/comprobantes/2021/CQ2100674 /C1LOSJAROCHOS_18_08_21_PDF_a1c35f57-a794-410a-a355-d12c0e563874.pdf")</f>
        <v>https://transparencia.cidesi.mx/comprobantes/2021/CQ2100674 /C1LOSJAROCHOS_18_08_21_PDF_a1c35f57-a794-410a-a355-d12c0e563874.pdf</v>
      </c>
      <c r="AN1394" t="str">
        <f>HYPERLINK("https://transparencia.cidesi.mx/comprobantes/2021/CQ2100674 /C1LOSJAROCHOS_18_08_21_PDF_a1c35f57-a794-410a-a355-d12c0e563874.pdf")</f>
        <v>https://transparencia.cidesi.mx/comprobantes/2021/CQ2100674 /C1LOSJAROCHOS_18_08_21_PDF_a1c35f57-a794-410a-a355-d12c0e563874.pdf</v>
      </c>
      <c r="AO1394" t="str">
        <f>HYPERLINK("https://transparencia.cidesi.mx/comprobantes/2021/CQ2100674 /C1LOSJAROCHOS_18_08_21_XML_a1c35f57-a794-410a-a355-d12c0e563874.xml")</f>
        <v>https://transparencia.cidesi.mx/comprobantes/2021/CQ2100674 /C1LOSJAROCHOS_18_08_21_XML_a1c35f57-a794-410a-a355-d12c0e563874.xml</v>
      </c>
      <c r="AP1394" t="s">
        <v>2723</v>
      </c>
      <c r="AQ1394" t="s">
        <v>2723</v>
      </c>
      <c r="AR1394" t="s">
        <v>2635</v>
      </c>
      <c r="AS1394" t="s">
        <v>2636</v>
      </c>
      <c r="AT1394" s="1">
        <v>44433</v>
      </c>
      <c r="AU1394" s="1">
        <v>44434</v>
      </c>
    </row>
    <row r="1395" spans="1:47" x14ac:dyDescent="0.3">
      <c r="A1395" t="s">
        <v>79</v>
      </c>
      <c r="B1395" t="s">
        <v>80</v>
      </c>
      <c r="C1395" t="s">
        <v>81</v>
      </c>
      <c r="D1395">
        <v>100708</v>
      </c>
      <c r="E1395" t="s">
        <v>2627</v>
      </c>
      <c r="F1395" t="s">
        <v>2628</v>
      </c>
      <c r="G1395" t="s">
        <v>2629</v>
      </c>
      <c r="H1395" t="s">
        <v>2722</v>
      </c>
      <c r="I1395" t="s">
        <v>54</v>
      </c>
      <c r="J1395" t="s">
        <v>2723</v>
      </c>
      <c r="K1395" t="s">
        <v>56</v>
      </c>
      <c r="L1395">
        <v>0</v>
      </c>
      <c r="M1395" t="s">
        <v>73</v>
      </c>
      <c r="N1395">
        <v>0</v>
      </c>
      <c r="O1395" t="s">
        <v>58</v>
      </c>
      <c r="P1395" t="s">
        <v>59</v>
      </c>
      <c r="Q1395" t="s">
        <v>60</v>
      </c>
      <c r="R1395" t="s">
        <v>2723</v>
      </c>
      <c r="S1395" s="1">
        <v>44426</v>
      </c>
      <c r="T1395" s="1">
        <v>44426</v>
      </c>
      <c r="U1395">
        <v>37501</v>
      </c>
      <c r="V1395" t="s">
        <v>1009</v>
      </c>
      <c r="W1395" t="s">
        <v>2724</v>
      </c>
      <c r="X1395" s="1">
        <v>44431</v>
      </c>
      <c r="Y1395" t="s">
        <v>63</v>
      </c>
      <c r="Z1395">
        <v>50</v>
      </c>
      <c r="AA1395">
        <v>0</v>
      </c>
      <c r="AB1395">
        <v>0</v>
      </c>
      <c r="AC1395">
        <v>0</v>
      </c>
      <c r="AD1395">
        <v>50</v>
      </c>
      <c r="AE1395">
        <v>490.01</v>
      </c>
      <c r="AF1395">
        <v>545</v>
      </c>
      <c r="AG1395" t="s">
        <v>2725</v>
      </c>
      <c r="AH1395" t="s">
        <v>66</v>
      </c>
      <c r="AI1395" t="s">
        <v>65</v>
      </c>
      <c r="AJ1395" t="s">
        <v>66</v>
      </c>
      <c r="AK1395" t="s">
        <v>66</v>
      </c>
      <c r="AL1395" t="s">
        <v>66</v>
      </c>
      <c r="AM1395" s="2" t="str">
        <f>HYPERLINK("https://transparencia.cidesi.mx/comprobantes/2021/CQ2100674 /C2ESTA_18_08_21_PDF_CFDI_F_BPA091110NR7_CID840309UG7_2021-08-23_76380.pdf")</f>
        <v>https://transparencia.cidesi.mx/comprobantes/2021/CQ2100674 /C2ESTA_18_08_21_PDF_CFDI_F_BPA091110NR7_CID840309UG7_2021-08-23_76380.pdf</v>
      </c>
      <c r="AN1395" t="str">
        <f>HYPERLINK("https://transparencia.cidesi.mx/comprobantes/2021/CQ2100674 /C2ESTA_18_08_21_PDF_CFDI_F_BPA091110NR7_CID840309UG7_2021-08-23_76380.pdf")</f>
        <v>https://transparencia.cidesi.mx/comprobantes/2021/CQ2100674 /C2ESTA_18_08_21_PDF_CFDI_F_BPA091110NR7_CID840309UG7_2021-08-23_76380.pdf</v>
      </c>
      <c r="AO1395" t="str">
        <f>HYPERLINK("https://transparencia.cidesi.mx/comprobantes/2021/CQ2100674 /C2ESTA_18_08_21_XML_CFDI_F_BPA091110NR7_CID840309UG7_2021-08-23_76380.xml")</f>
        <v>https://transparencia.cidesi.mx/comprobantes/2021/CQ2100674 /C2ESTA_18_08_21_XML_CFDI_F_BPA091110NR7_CID840309UG7_2021-08-23_76380.xml</v>
      </c>
      <c r="AP1395" t="s">
        <v>2723</v>
      </c>
      <c r="AQ1395" t="s">
        <v>2723</v>
      </c>
      <c r="AR1395" t="s">
        <v>2635</v>
      </c>
      <c r="AS1395" t="s">
        <v>2636</v>
      </c>
      <c r="AT1395" s="1">
        <v>44433</v>
      </c>
      <c r="AU1395" s="1">
        <v>44434</v>
      </c>
    </row>
    <row r="1396" spans="1:47" x14ac:dyDescent="0.3">
      <c r="A1396" t="s">
        <v>79</v>
      </c>
      <c r="B1396" t="s">
        <v>80</v>
      </c>
      <c r="C1396" t="s">
        <v>81</v>
      </c>
      <c r="D1396">
        <v>100708</v>
      </c>
      <c r="E1396" t="s">
        <v>2627</v>
      </c>
      <c r="F1396" t="s">
        <v>2628</v>
      </c>
      <c r="G1396" t="s">
        <v>2629</v>
      </c>
      <c r="H1396" t="s">
        <v>2726</v>
      </c>
      <c r="I1396" t="s">
        <v>54</v>
      </c>
      <c r="J1396" t="s">
        <v>2727</v>
      </c>
      <c r="K1396" t="s">
        <v>56</v>
      </c>
      <c r="L1396">
        <v>0</v>
      </c>
      <c r="M1396" t="s">
        <v>73</v>
      </c>
      <c r="N1396">
        <v>0</v>
      </c>
      <c r="O1396" t="s">
        <v>58</v>
      </c>
      <c r="P1396" t="s">
        <v>59</v>
      </c>
      <c r="Q1396" t="s">
        <v>60</v>
      </c>
      <c r="R1396" t="s">
        <v>2727</v>
      </c>
      <c r="S1396" s="1">
        <v>44428</v>
      </c>
      <c r="T1396" s="1">
        <v>44428</v>
      </c>
      <c r="U1396">
        <v>37501</v>
      </c>
      <c r="V1396" t="s">
        <v>61</v>
      </c>
      <c r="W1396" t="s">
        <v>2728</v>
      </c>
      <c r="X1396" s="1">
        <v>44431</v>
      </c>
      <c r="Y1396" t="s">
        <v>63</v>
      </c>
      <c r="Z1396">
        <v>273.27999999999997</v>
      </c>
      <c r="AA1396">
        <v>16</v>
      </c>
      <c r="AB1396">
        <v>43.72</v>
      </c>
      <c r="AC1396">
        <v>32</v>
      </c>
      <c r="AD1396">
        <v>349</v>
      </c>
      <c r="AE1396">
        <v>508</v>
      </c>
      <c r="AF1396">
        <v>545</v>
      </c>
      <c r="AG1396" t="s">
        <v>2633</v>
      </c>
      <c r="AH1396" t="s">
        <v>65</v>
      </c>
      <c r="AI1396" t="s">
        <v>65</v>
      </c>
      <c r="AJ1396" t="s">
        <v>66</v>
      </c>
      <c r="AK1396" t="s">
        <v>66</v>
      </c>
      <c r="AL1396" t="s">
        <v>66</v>
      </c>
      <c r="AM1396" s="2" t="str">
        <f>HYPERLINK("https://transparencia.cidesi.mx/comprobantes/2021/CQ2100676 /C1LAFINCA_20_08_21_PDF_69784517.pdf")</f>
        <v>https://transparencia.cidesi.mx/comprobantes/2021/CQ2100676 /C1LAFINCA_20_08_21_PDF_69784517.pdf</v>
      </c>
      <c r="AN1396" t="str">
        <f>HYPERLINK("https://transparencia.cidesi.mx/comprobantes/2021/CQ2100676 /C1LAFINCA_20_08_21_PDF_69784517.pdf")</f>
        <v>https://transparencia.cidesi.mx/comprobantes/2021/CQ2100676 /C1LAFINCA_20_08_21_PDF_69784517.pdf</v>
      </c>
      <c r="AO1396" t="str">
        <f>HYPERLINK("https://transparencia.cidesi.mx/comprobantes/2021/CQ2100676 /C1LAFINCA_20_08_21_XML_69784517.xml")</f>
        <v>https://transparencia.cidesi.mx/comprobantes/2021/CQ2100676 /C1LAFINCA_20_08_21_XML_69784517.xml</v>
      </c>
      <c r="AP1396" t="s">
        <v>2729</v>
      </c>
      <c r="AQ1396" t="s">
        <v>2727</v>
      </c>
      <c r="AR1396" t="s">
        <v>2635</v>
      </c>
      <c r="AS1396" t="s">
        <v>2636</v>
      </c>
      <c r="AT1396" s="1">
        <v>44433</v>
      </c>
      <c r="AU1396" s="1">
        <v>44434</v>
      </c>
    </row>
    <row r="1397" spans="1:47" x14ac:dyDescent="0.3">
      <c r="A1397" t="s">
        <v>79</v>
      </c>
      <c r="B1397" t="s">
        <v>80</v>
      </c>
      <c r="C1397" t="s">
        <v>81</v>
      </c>
      <c r="D1397">
        <v>100708</v>
      </c>
      <c r="E1397" t="s">
        <v>2627</v>
      </c>
      <c r="F1397" t="s">
        <v>2628</v>
      </c>
      <c r="G1397" t="s">
        <v>2629</v>
      </c>
      <c r="H1397" t="s">
        <v>2726</v>
      </c>
      <c r="I1397" t="s">
        <v>54</v>
      </c>
      <c r="J1397" t="s">
        <v>2727</v>
      </c>
      <c r="K1397" t="s">
        <v>56</v>
      </c>
      <c r="L1397">
        <v>0</v>
      </c>
      <c r="M1397" t="s">
        <v>73</v>
      </c>
      <c r="N1397">
        <v>0</v>
      </c>
      <c r="O1397" t="s">
        <v>58</v>
      </c>
      <c r="P1397" t="s">
        <v>59</v>
      </c>
      <c r="Q1397" t="s">
        <v>60</v>
      </c>
      <c r="R1397" t="s">
        <v>2727</v>
      </c>
      <c r="S1397" s="1">
        <v>44428</v>
      </c>
      <c r="T1397" s="1">
        <v>44428</v>
      </c>
      <c r="U1397">
        <v>37501</v>
      </c>
      <c r="V1397" t="s">
        <v>61</v>
      </c>
      <c r="W1397" t="s">
        <v>2728</v>
      </c>
      <c r="X1397" s="1">
        <v>44431</v>
      </c>
      <c r="Y1397" t="s">
        <v>63</v>
      </c>
      <c r="Z1397">
        <v>137.07</v>
      </c>
      <c r="AA1397">
        <v>16</v>
      </c>
      <c r="AB1397">
        <v>21.93</v>
      </c>
      <c r="AC1397">
        <v>0</v>
      </c>
      <c r="AD1397">
        <v>159</v>
      </c>
      <c r="AE1397">
        <v>508</v>
      </c>
      <c r="AF1397">
        <v>545</v>
      </c>
      <c r="AG1397" t="s">
        <v>2633</v>
      </c>
      <c r="AH1397" t="s">
        <v>65</v>
      </c>
      <c r="AI1397" t="s">
        <v>65</v>
      </c>
      <c r="AJ1397" t="s">
        <v>66</v>
      </c>
      <c r="AK1397" t="s">
        <v>66</v>
      </c>
      <c r="AL1397" t="s">
        <v>66</v>
      </c>
      <c r="AM1397" s="2" t="str">
        <f>HYPERLINK("https://transparencia.cidesi.mx/comprobantes/2021/CQ2100676 /C2DESAYUNO_20_08_21_PDF_RLI930128AI5CFDI-561906.pdf")</f>
        <v>https://transparencia.cidesi.mx/comprobantes/2021/CQ2100676 /C2DESAYUNO_20_08_21_PDF_RLI930128AI5CFDI-561906.pdf</v>
      </c>
      <c r="AN1397" t="str">
        <f>HYPERLINK("https://transparencia.cidesi.mx/comprobantes/2021/CQ2100676 /C2DESAYUNO_20_08_21_PDF_RLI930128AI5CFDI-561906.pdf")</f>
        <v>https://transparencia.cidesi.mx/comprobantes/2021/CQ2100676 /C2DESAYUNO_20_08_21_PDF_RLI930128AI5CFDI-561906.pdf</v>
      </c>
      <c r="AO1397" t="str">
        <f>HYPERLINK("https://transparencia.cidesi.mx/comprobantes/2021/CQ2100676 /C2DESAYUNO_20_08_21_XML_RLI930128AI5CFDI-561906.xml")</f>
        <v>https://transparencia.cidesi.mx/comprobantes/2021/CQ2100676 /C2DESAYUNO_20_08_21_XML_RLI930128AI5CFDI-561906.xml</v>
      </c>
      <c r="AP1397" t="s">
        <v>2729</v>
      </c>
      <c r="AQ1397" t="s">
        <v>2727</v>
      </c>
      <c r="AR1397" t="s">
        <v>2635</v>
      </c>
      <c r="AS1397" t="s">
        <v>2636</v>
      </c>
      <c r="AT1397" s="1">
        <v>44433</v>
      </c>
      <c r="AU1397" s="1">
        <v>44434</v>
      </c>
    </row>
    <row r="1398" spans="1:47" x14ac:dyDescent="0.3">
      <c r="A1398" t="s">
        <v>79</v>
      </c>
      <c r="B1398" t="s">
        <v>80</v>
      </c>
      <c r="C1398" t="s">
        <v>81</v>
      </c>
      <c r="D1398">
        <v>100708</v>
      </c>
      <c r="E1398" t="s">
        <v>2627</v>
      </c>
      <c r="F1398" t="s">
        <v>2628</v>
      </c>
      <c r="G1398" t="s">
        <v>2629</v>
      </c>
      <c r="H1398" t="s">
        <v>2730</v>
      </c>
      <c r="I1398" t="s">
        <v>54</v>
      </c>
      <c r="J1398" t="s">
        <v>2731</v>
      </c>
      <c r="K1398" t="s">
        <v>56</v>
      </c>
      <c r="L1398">
        <v>0</v>
      </c>
      <c r="M1398" t="s">
        <v>73</v>
      </c>
      <c r="N1398">
        <v>0</v>
      </c>
      <c r="O1398" t="s">
        <v>58</v>
      </c>
      <c r="P1398" t="s">
        <v>59</v>
      </c>
      <c r="Q1398" t="s">
        <v>108</v>
      </c>
      <c r="R1398" t="s">
        <v>2731</v>
      </c>
      <c r="S1398" s="1">
        <v>44434</v>
      </c>
      <c r="T1398" s="1">
        <v>44434</v>
      </c>
      <c r="U1398">
        <v>37501</v>
      </c>
      <c r="V1398" t="s">
        <v>61</v>
      </c>
      <c r="W1398" t="s">
        <v>2732</v>
      </c>
      <c r="X1398" s="1">
        <v>44435</v>
      </c>
      <c r="Y1398" t="s">
        <v>63</v>
      </c>
      <c r="Z1398">
        <v>464.66</v>
      </c>
      <c r="AA1398">
        <v>16</v>
      </c>
      <c r="AB1398">
        <v>74.349999999999994</v>
      </c>
      <c r="AC1398">
        <v>0</v>
      </c>
      <c r="AD1398">
        <v>539.01</v>
      </c>
      <c r="AE1398">
        <v>539.01</v>
      </c>
      <c r="AF1398">
        <v>545</v>
      </c>
      <c r="AG1398" t="s">
        <v>2633</v>
      </c>
      <c r="AH1398" t="s">
        <v>65</v>
      </c>
      <c r="AI1398" t="s">
        <v>65</v>
      </c>
      <c r="AJ1398" t="s">
        <v>66</v>
      </c>
      <c r="AK1398" t="s">
        <v>66</v>
      </c>
      <c r="AL1398" t="s">
        <v>66</v>
      </c>
      <c r="AM1398" s="2" t="str">
        <f>HYPERLINK("https://transparencia.cidesi.mx/comprobantes/2021/CQ2100698 /C1MARISCOS_26_08_21_PDF_HERG800611EX5FF5417.pdf")</f>
        <v>https://transparencia.cidesi.mx/comprobantes/2021/CQ2100698 /C1MARISCOS_26_08_21_PDF_HERG800611EX5FF5417.pdf</v>
      </c>
      <c r="AN1398" t="str">
        <f>HYPERLINK("https://transparencia.cidesi.mx/comprobantes/2021/CQ2100698 /C1MARISCOS_26_08_21_PDF_HERG800611EX5FF5417.pdf")</f>
        <v>https://transparencia.cidesi.mx/comprobantes/2021/CQ2100698 /C1MARISCOS_26_08_21_PDF_HERG800611EX5FF5417.pdf</v>
      </c>
      <c r="AO1398" t="str">
        <f>HYPERLINK("https://transparencia.cidesi.mx/comprobantes/2021/CQ2100698 /C1MARISCOS_26_08_21_XML_HERG800611EX5FF5417.xml")</f>
        <v>https://transparencia.cidesi.mx/comprobantes/2021/CQ2100698 /C1MARISCOS_26_08_21_XML_HERG800611EX5FF5417.xml</v>
      </c>
      <c r="AP1398" t="s">
        <v>2731</v>
      </c>
      <c r="AQ1398" t="s">
        <v>2731</v>
      </c>
      <c r="AR1398" t="s">
        <v>2635</v>
      </c>
      <c r="AS1398" t="s">
        <v>2636</v>
      </c>
      <c r="AT1398" s="1">
        <v>44439</v>
      </c>
      <c r="AU1398" s="1">
        <v>44440</v>
      </c>
    </row>
    <row r="1399" spans="1:47" x14ac:dyDescent="0.3">
      <c r="A1399" t="s">
        <v>79</v>
      </c>
      <c r="B1399" t="s">
        <v>80</v>
      </c>
      <c r="C1399" t="s">
        <v>81</v>
      </c>
      <c r="D1399">
        <v>100708</v>
      </c>
      <c r="E1399" t="s">
        <v>2627</v>
      </c>
      <c r="F1399" t="s">
        <v>2628</v>
      </c>
      <c r="G1399" t="s">
        <v>2629</v>
      </c>
      <c r="H1399" t="s">
        <v>2733</v>
      </c>
      <c r="I1399" t="s">
        <v>54</v>
      </c>
      <c r="J1399" t="s">
        <v>2734</v>
      </c>
      <c r="K1399" t="s">
        <v>56</v>
      </c>
      <c r="L1399">
        <v>0</v>
      </c>
      <c r="M1399" t="s">
        <v>73</v>
      </c>
      <c r="N1399">
        <v>0</v>
      </c>
      <c r="O1399" t="s">
        <v>58</v>
      </c>
      <c r="P1399" t="s">
        <v>59</v>
      </c>
      <c r="Q1399" t="s">
        <v>87</v>
      </c>
      <c r="R1399" t="s">
        <v>2734</v>
      </c>
      <c r="S1399" s="1">
        <v>44435</v>
      </c>
      <c r="T1399" s="1">
        <v>44435</v>
      </c>
      <c r="U1399">
        <v>37501</v>
      </c>
      <c r="V1399" t="s">
        <v>61</v>
      </c>
      <c r="W1399" t="s">
        <v>2735</v>
      </c>
      <c r="X1399" s="1">
        <v>44438</v>
      </c>
      <c r="Y1399" t="s">
        <v>63</v>
      </c>
      <c r="Z1399">
        <v>370.59</v>
      </c>
      <c r="AA1399">
        <v>16</v>
      </c>
      <c r="AB1399">
        <v>32.409999999999997</v>
      </c>
      <c r="AC1399">
        <v>0</v>
      </c>
      <c r="AD1399">
        <v>403</v>
      </c>
      <c r="AE1399">
        <v>403</v>
      </c>
      <c r="AF1399">
        <v>545</v>
      </c>
      <c r="AG1399" t="s">
        <v>2633</v>
      </c>
      <c r="AH1399" t="s">
        <v>65</v>
      </c>
      <c r="AI1399" t="s">
        <v>65</v>
      </c>
      <c r="AJ1399" t="s">
        <v>66</v>
      </c>
      <c r="AK1399" t="s">
        <v>66</v>
      </c>
      <c r="AL1399" t="s">
        <v>66</v>
      </c>
      <c r="AM1399" s="2" t="str">
        <f>HYPERLINK("https://transparencia.cidesi.mx/comprobantes/2021/CQ2100710 /C1COMIDA_27_08_16_PDF_21C076192.pdf")</f>
        <v>https://transparencia.cidesi.mx/comprobantes/2021/CQ2100710 /C1COMIDA_27_08_16_PDF_21C076192.pdf</v>
      </c>
      <c r="AN1399" t="str">
        <f>HYPERLINK("https://transparencia.cidesi.mx/comprobantes/2021/CQ2100710 /C1COMIDA_27_08_16_PDF_21C076192.pdf")</f>
        <v>https://transparencia.cidesi.mx/comprobantes/2021/CQ2100710 /C1COMIDA_27_08_16_PDF_21C076192.pdf</v>
      </c>
      <c r="AO1399" t="str">
        <f>HYPERLINK("https://transparencia.cidesi.mx/comprobantes/2021/CQ2100710 /C1COMIDA_27_08__16_XML_21C076192.xml")</f>
        <v>https://transparencia.cidesi.mx/comprobantes/2021/CQ2100710 /C1COMIDA_27_08__16_XML_21C076192.xml</v>
      </c>
      <c r="AP1399" t="s">
        <v>2734</v>
      </c>
      <c r="AQ1399" t="s">
        <v>2734</v>
      </c>
      <c r="AR1399" t="s">
        <v>2736</v>
      </c>
      <c r="AS1399" t="s">
        <v>2636</v>
      </c>
      <c r="AT1399" s="1">
        <v>44439</v>
      </c>
      <c r="AU1399" s="1">
        <v>44440</v>
      </c>
    </row>
    <row r="1400" spans="1:47" x14ac:dyDescent="0.3">
      <c r="A1400" t="s">
        <v>79</v>
      </c>
      <c r="B1400" t="s">
        <v>80</v>
      </c>
      <c r="C1400" t="s">
        <v>81</v>
      </c>
      <c r="D1400">
        <v>100708</v>
      </c>
      <c r="E1400" t="s">
        <v>2627</v>
      </c>
      <c r="F1400" t="s">
        <v>2628</v>
      </c>
      <c r="G1400" t="s">
        <v>2629</v>
      </c>
      <c r="H1400" t="s">
        <v>2737</v>
      </c>
      <c r="I1400" t="s">
        <v>54</v>
      </c>
      <c r="J1400" t="s">
        <v>2738</v>
      </c>
      <c r="K1400" t="s">
        <v>56</v>
      </c>
      <c r="L1400">
        <v>100210</v>
      </c>
      <c r="M1400" t="s">
        <v>205</v>
      </c>
      <c r="N1400">
        <v>0</v>
      </c>
      <c r="O1400" t="s">
        <v>58</v>
      </c>
      <c r="P1400" t="s">
        <v>59</v>
      </c>
      <c r="Q1400" t="s">
        <v>378</v>
      </c>
      <c r="R1400" t="s">
        <v>2738</v>
      </c>
      <c r="S1400" s="1">
        <v>44440</v>
      </c>
      <c r="T1400" s="1">
        <v>44440</v>
      </c>
      <c r="U1400">
        <v>37501</v>
      </c>
      <c r="V1400" t="s">
        <v>61</v>
      </c>
      <c r="W1400" t="s">
        <v>2739</v>
      </c>
      <c r="X1400" s="1">
        <v>44445</v>
      </c>
      <c r="Y1400" t="s">
        <v>63</v>
      </c>
      <c r="Z1400">
        <v>100</v>
      </c>
      <c r="AA1400">
        <v>16</v>
      </c>
      <c r="AB1400">
        <v>16</v>
      </c>
      <c r="AC1400">
        <v>0</v>
      </c>
      <c r="AD1400">
        <v>116</v>
      </c>
      <c r="AE1400">
        <v>990</v>
      </c>
      <c r="AF1400">
        <v>1034</v>
      </c>
      <c r="AG1400" t="s">
        <v>2633</v>
      </c>
      <c r="AH1400" t="s">
        <v>65</v>
      </c>
      <c r="AI1400" t="s">
        <v>65</v>
      </c>
      <c r="AJ1400" t="s">
        <v>66</v>
      </c>
      <c r="AK1400" t="s">
        <v>66</v>
      </c>
      <c r="AL1400" t="s">
        <v>66</v>
      </c>
      <c r="AM1400" s="2" t="str">
        <f>HYPERLINK("https://transparencia.cidesi.mx/comprobantes/2021/CQ2100739 /C1STARBUCKS_01_09_21-PDF_70022840.pdf")</f>
        <v>https://transparencia.cidesi.mx/comprobantes/2021/CQ2100739 /C1STARBUCKS_01_09_21-PDF_70022840.pdf</v>
      </c>
      <c r="AN1400" t="str">
        <f>HYPERLINK("https://transparencia.cidesi.mx/comprobantes/2021/CQ2100739 /C1STARBUCKS_01_09_21-PDF_70022840.pdf")</f>
        <v>https://transparencia.cidesi.mx/comprobantes/2021/CQ2100739 /C1STARBUCKS_01_09_21-PDF_70022840.pdf</v>
      </c>
      <c r="AO1400" t="str">
        <f>HYPERLINK("https://transparencia.cidesi.mx/comprobantes/2021/CQ2100739 /C1STARBUCKS_01_09_21_XML_70022840.xml")</f>
        <v>https://transparencia.cidesi.mx/comprobantes/2021/CQ2100739 /C1STARBUCKS_01_09_21_XML_70022840.xml</v>
      </c>
      <c r="AP1400" t="s">
        <v>2740</v>
      </c>
      <c r="AQ1400" t="s">
        <v>2738</v>
      </c>
      <c r="AR1400" t="s">
        <v>2635</v>
      </c>
      <c r="AS1400" t="s">
        <v>2636</v>
      </c>
      <c r="AT1400" s="1">
        <v>44448</v>
      </c>
      <c r="AU1400" s="1">
        <v>44452</v>
      </c>
    </row>
    <row r="1401" spans="1:47" x14ac:dyDescent="0.3">
      <c r="A1401" t="s">
        <v>79</v>
      </c>
      <c r="B1401" t="s">
        <v>80</v>
      </c>
      <c r="C1401" t="s">
        <v>81</v>
      </c>
      <c r="D1401">
        <v>100708</v>
      </c>
      <c r="E1401" t="s">
        <v>2627</v>
      </c>
      <c r="F1401" t="s">
        <v>2628</v>
      </c>
      <c r="G1401" t="s">
        <v>2629</v>
      </c>
      <c r="H1401" t="s">
        <v>2737</v>
      </c>
      <c r="I1401" t="s">
        <v>54</v>
      </c>
      <c r="J1401" t="s">
        <v>2738</v>
      </c>
      <c r="K1401" t="s">
        <v>56</v>
      </c>
      <c r="L1401">
        <v>100210</v>
      </c>
      <c r="M1401" t="s">
        <v>205</v>
      </c>
      <c r="N1401">
        <v>0</v>
      </c>
      <c r="O1401" t="s">
        <v>58</v>
      </c>
      <c r="P1401" t="s">
        <v>59</v>
      </c>
      <c r="Q1401" t="s">
        <v>378</v>
      </c>
      <c r="R1401" t="s">
        <v>2738</v>
      </c>
      <c r="S1401" s="1">
        <v>44440</v>
      </c>
      <c r="T1401" s="1">
        <v>44440</v>
      </c>
      <c r="U1401">
        <v>37501</v>
      </c>
      <c r="V1401" t="s">
        <v>61</v>
      </c>
      <c r="W1401" t="s">
        <v>2739</v>
      </c>
      <c r="X1401" s="1">
        <v>44445</v>
      </c>
      <c r="Y1401" t="s">
        <v>63</v>
      </c>
      <c r="Z1401">
        <v>684.48</v>
      </c>
      <c r="AA1401">
        <v>16</v>
      </c>
      <c r="AB1401">
        <v>109.52</v>
      </c>
      <c r="AC1401">
        <v>80</v>
      </c>
      <c r="AD1401">
        <v>874</v>
      </c>
      <c r="AE1401">
        <v>990</v>
      </c>
      <c r="AF1401">
        <v>1034</v>
      </c>
      <c r="AG1401" t="s">
        <v>2633</v>
      </c>
      <c r="AH1401" t="s">
        <v>65</v>
      </c>
      <c r="AI1401" t="s">
        <v>65</v>
      </c>
      <c r="AJ1401" t="s">
        <v>66</v>
      </c>
      <c r="AK1401" t="s">
        <v>66</v>
      </c>
      <c r="AL1401" t="s">
        <v>66</v>
      </c>
      <c r="AM1401" s="2" t="str">
        <f>HYPERLINK("https://transparencia.cidesi.mx/comprobantes/2021/CQ2100739 /C2CHILIS_01_09_21_PDF_CSLS297190_NDG071019LH4.pdf")</f>
        <v>https://transparencia.cidesi.mx/comprobantes/2021/CQ2100739 /C2CHILIS_01_09_21_PDF_CSLS297190_NDG071019LH4.pdf</v>
      </c>
      <c r="AN1401" t="str">
        <f>HYPERLINK("https://transparencia.cidesi.mx/comprobantes/2021/CQ2100739 /C2CHILIS_01_09_21_PDF_CSLS297190_NDG071019LH4.pdf")</f>
        <v>https://transparencia.cidesi.mx/comprobantes/2021/CQ2100739 /C2CHILIS_01_09_21_PDF_CSLS297190_NDG071019LH4.pdf</v>
      </c>
      <c r="AO1401" t="str">
        <f>HYPERLINK("https://transparencia.cidesi.mx/comprobantes/2021/CQ2100739 /C2CHILIS_01_09_21_XML_CSLS297190_NDG071019LH4.xml")</f>
        <v>https://transparencia.cidesi.mx/comprobantes/2021/CQ2100739 /C2CHILIS_01_09_21_XML_CSLS297190_NDG071019LH4.xml</v>
      </c>
      <c r="AP1401" t="s">
        <v>2740</v>
      </c>
      <c r="AQ1401" t="s">
        <v>2738</v>
      </c>
      <c r="AR1401" t="s">
        <v>2635</v>
      </c>
      <c r="AS1401" t="s">
        <v>2636</v>
      </c>
      <c r="AT1401" s="1">
        <v>44448</v>
      </c>
      <c r="AU1401" s="1">
        <v>44452</v>
      </c>
    </row>
    <row r="1402" spans="1:47" x14ac:dyDescent="0.3">
      <c r="A1402" t="s">
        <v>79</v>
      </c>
      <c r="B1402" t="s">
        <v>80</v>
      </c>
      <c r="C1402" t="s">
        <v>81</v>
      </c>
      <c r="D1402">
        <v>100708</v>
      </c>
      <c r="E1402" t="s">
        <v>2627</v>
      </c>
      <c r="F1402" t="s">
        <v>2628</v>
      </c>
      <c r="G1402" t="s">
        <v>2629</v>
      </c>
      <c r="H1402" t="s">
        <v>2741</v>
      </c>
      <c r="I1402" t="s">
        <v>54</v>
      </c>
      <c r="J1402" t="s">
        <v>2742</v>
      </c>
      <c r="K1402" t="s">
        <v>56</v>
      </c>
      <c r="L1402">
        <v>0</v>
      </c>
      <c r="M1402" t="s">
        <v>73</v>
      </c>
      <c r="N1402">
        <v>0</v>
      </c>
      <c r="O1402" t="s">
        <v>58</v>
      </c>
      <c r="P1402" t="s">
        <v>59</v>
      </c>
      <c r="Q1402" t="s">
        <v>60</v>
      </c>
      <c r="R1402" t="s">
        <v>2742</v>
      </c>
      <c r="S1402" s="1">
        <v>44445</v>
      </c>
      <c r="T1402" s="1">
        <v>44445</v>
      </c>
      <c r="U1402">
        <v>37501</v>
      </c>
      <c r="V1402" t="s">
        <v>61</v>
      </c>
      <c r="W1402" t="s">
        <v>2743</v>
      </c>
      <c r="X1402" s="1">
        <v>44447</v>
      </c>
      <c r="Y1402" t="s">
        <v>63</v>
      </c>
      <c r="Z1402">
        <v>109.48</v>
      </c>
      <c r="AA1402">
        <v>16</v>
      </c>
      <c r="AB1402">
        <v>17.52</v>
      </c>
      <c r="AC1402">
        <v>12</v>
      </c>
      <c r="AD1402">
        <v>139</v>
      </c>
      <c r="AE1402">
        <v>518.5</v>
      </c>
      <c r="AF1402">
        <v>545</v>
      </c>
      <c r="AG1402" t="s">
        <v>2633</v>
      </c>
      <c r="AH1402" t="s">
        <v>65</v>
      </c>
      <c r="AI1402" t="s">
        <v>65</v>
      </c>
      <c r="AJ1402" t="s">
        <v>66</v>
      </c>
      <c r="AK1402" t="s">
        <v>66</v>
      </c>
      <c r="AL1402" t="s">
        <v>66</v>
      </c>
      <c r="AM1402" s="2" t="str">
        <f>HYPERLINK("https://transparencia.cidesi.mx/comprobantes/2021/CQ2100753 /C1LACASADETOÑO_06_09_21_PDF_GRL160519AE9_CYC_9040.pdf")</f>
        <v>https://transparencia.cidesi.mx/comprobantes/2021/CQ2100753 /C1LACASADETOÑO_06_09_21_PDF_GRL160519AE9_CYC_9040.pdf</v>
      </c>
      <c r="AN1402" t="str">
        <f>HYPERLINK("https://transparencia.cidesi.mx/comprobantes/2021/CQ2100753 /C1LACASADETOÑO_06_09_21_PDF_GRL160519AE9_CYC_9040.pdf")</f>
        <v>https://transparencia.cidesi.mx/comprobantes/2021/CQ2100753 /C1LACASADETOÑO_06_09_21_PDF_GRL160519AE9_CYC_9040.pdf</v>
      </c>
      <c r="AO1402" t="str">
        <f>HYPERLINK("https://transparencia.cidesi.mx/comprobantes/2021/CQ2100753 /C1LACASA DE TOÑO_06_09_21_XML_GRL160519AE9_CYC_9040.xml")</f>
        <v>https://transparencia.cidesi.mx/comprobantes/2021/CQ2100753 /C1LACASA DE TOÑO_06_09_21_XML_GRL160519AE9_CYC_9040.xml</v>
      </c>
      <c r="AP1402" t="s">
        <v>2744</v>
      </c>
      <c r="AQ1402" t="s">
        <v>2745</v>
      </c>
      <c r="AR1402" t="s">
        <v>2635</v>
      </c>
      <c r="AS1402" t="s">
        <v>2636</v>
      </c>
      <c r="AT1402" s="1">
        <v>44448</v>
      </c>
      <c r="AU1402" s="1">
        <v>44452</v>
      </c>
    </row>
    <row r="1403" spans="1:47" x14ac:dyDescent="0.3">
      <c r="A1403" t="s">
        <v>79</v>
      </c>
      <c r="B1403" t="s">
        <v>80</v>
      </c>
      <c r="C1403" t="s">
        <v>81</v>
      </c>
      <c r="D1403">
        <v>100708</v>
      </c>
      <c r="E1403" t="s">
        <v>2627</v>
      </c>
      <c r="F1403" t="s">
        <v>2628</v>
      </c>
      <c r="G1403" t="s">
        <v>2629</v>
      </c>
      <c r="H1403" t="s">
        <v>2741</v>
      </c>
      <c r="I1403" t="s">
        <v>54</v>
      </c>
      <c r="J1403" t="s">
        <v>2742</v>
      </c>
      <c r="K1403" t="s">
        <v>56</v>
      </c>
      <c r="L1403">
        <v>0</v>
      </c>
      <c r="M1403" t="s">
        <v>73</v>
      </c>
      <c r="N1403">
        <v>0</v>
      </c>
      <c r="O1403" t="s">
        <v>58</v>
      </c>
      <c r="P1403" t="s">
        <v>59</v>
      </c>
      <c r="Q1403" t="s">
        <v>60</v>
      </c>
      <c r="R1403" t="s">
        <v>2742</v>
      </c>
      <c r="S1403" s="1">
        <v>44445</v>
      </c>
      <c r="T1403" s="1">
        <v>44445</v>
      </c>
      <c r="U1403">
        <v>37501</v>
      </c>
      <c r="V1403" t="s">
        <v>61</v>
      </c>
      <c r="W1403" t="s">
        <v>2743</v>
      </c>
      <c r="X1403" s="1">
        <v>44447</v>
      </c>
      <c r="Y1403" t="s">
        <v>63</v>
      </c>
      <c r="Z1403">
        <v>297.41000000000003</v>
      </c>
      <c r="AA1403">
        <v>16</v>
      </c>
      <c r="AB1403">
        <v>47.59</v>
      </c>
      <c r="AC1403">
        <v>34.5</v>
      </c>
      <c r="AD1403">
        <v>379.5</v>
      </c>
      <c r="AE1403">
        <v>518.5</v>
      </c>
      <c r="AF1403">
        <v>545</v>
      </c>
      <c r="AG1403" t="s">
        <v>2633</v>
      </c>
      <c r="AH1403" t="s">
        <v>65</v>
      </c>
      <c r="AI1403" t="s">
        <v>65</v>
      </c>
      <c r="AJ1403" t="s">
        <v>66</v>
      </c>
      <c r="AK1403" t="s">
        <v>66</v>
      </c>
      <c r="AL1403" t="s">
        <v>66</v>
      </c>
      <c r="AM1403" s="2" t="str">
        <f>HYPERLINK("https://transparencia.cidesi.mx/comprobantes/2021/CQ2100753 /C2TOKS_06_09_21_PDF_CID840309UG7_TIWEBDF6556476.pdf")</f>
        <v>https://transparencia.cidesi.mx/comprobantes/2021/CQ2100753 /C2TOKS_06_09_21_PDF_CID840309UG7_TIWEBDF6556476.pdf</v>
      </c>
      <c r="AN1403" t="str">
        <f>HYPERLINK("https://transparencia.cidesi.mx/comprobantes/2021/CQ2100753 /C2TOKS_06_09_21_PDF_CID840309UG7_TIWEBDF6556476.pdf")</f>
        <v>https://transparencia.cidesi.mx/comprobantes/2021/CQ2100753 /C2TOKS_06_09_21_PDF_CID840309UG7_TIWEBDF6556476.pdf</v>
      </c>
      <c r="AO1403" t="str">
        <f>HYPERLINK("https://transparencia.cidesi.mx/comprobantes/2021/CQ2100753 /C2TOKS_06_09_21_XML_CID840309UG7_TIWEBDF6556476.xml")</f>
        <v>https://transparencia.cidesi.mx/comprobantes/2021/CQ2100753 /C2TOKS_06_09_21_XML_CID840309UG7_TIWEBDF6556476.xml</v>
      </c>
      <c r="AP1403" t="s">
        <v>2744</v>
      </c>
      <c r="AQ1403" t="s">
        <v>2745</v>
      </c>
      <c r="AR1403" t="s">
        <v>2635</v>
      </c>
      <c r="AS1403" t="s">
        <v>2636</v>
      </c>
      <c r="AT1403" s="1">
        <v>44448</v>
      </c>
      <c r="AU1403" s="1">
        <v>44452</v>
      </c>
    </row>
    <row r="1404" spans="1:47" x14ac:dyDescent="0.3">
      <c r="A1404" t="s">
        <v>79</v>
      </c>
      <c r="B1404" t="s">
        <v>80</v>
      </c>
      <c r="C1404" t="s">
        <v>81</v>
      </c>
      <c r="D1404">
        <v>100708</v>
      </c>
      <c r="E1404" t="s">
        <v>2627</v>
      </c>
      <c r="F1404" t="s">
        <v>2628</v>
      </c>
      <c r="G1404" t="s">
        <v>2629</v>
      </c>
      <c r="H1404" t="s">
        <v>2746</v>
      </c>
      <c r="I1404" t="s">
        <v>54</v>
      </c>
      <c r="J1404" t="s">
        <v>2747</v>
      </c>
      <c r="K1404" t="s">
        <v>56</v>
      </c>
      <c r="L1404">
        <v>0</v>
      </c>
      <c r="M1404" t="s">
        <v>73</v>
      </c>
      <c r="N1404">
        <v>0</v>
      </c>
      <c r="O1404" t="s">
        <v>58</v>
      </c>
      <c r="P1404" t="s">
        <v>59</v>
      </c>
      <c r="Q1404" t="s">
        <v>60</v>
      </c>
      <c r="R1404" t="s">
        <v>2747</v>
      </c>
      <c r="S1404" s="1">
        <v>44446</v>
      </c>
      <c r="T1404" s="1">
        <v>44446</v>
      </c>
      <c r="U1404">
        <v>37501</v>
      </c>
      <c r="V1404" t="s">
        <v>61</v>
      </c>
      <c r="W1404" t="s">
        <v>2748</v>
      </c>
      <c r="X1404" s="1">
        <v>44447</v>
      </c>
      <c r="Y1404" t="s">
        <v>63</v>
      </c>
      <c r="Z1404">
        <v>439</v>
      </c>
      <c r="AA1404">
        <v>16</v>
      </c>
      <c r="AB1404">
        <v>61</v>
      </c>
      <c r="AC1404">
        <v>45</v>
      </c>
      <c r="AD1404">
        <v>545</v>
      </c>
      <c r="AE1404">
        <v>545</v>
      </c>
      <c r="AF1404">
        <v>545</v>
      </c>
      <c r="AG1404" t="s">
        <v>2633</v>
      </c>
      <c r="AH1404" t="s">
        <v>65</v>
      </c>
      <c r="AI1404" t="s">
        <v>65</v>
      </c>
      <c r="AJ1404" t="s">
        <v>66</v>
      </c>
      <c r="AK1404" t="s">
        <v>66</v>
      </c>
      <c r="AL1404" t="s">
        <v>66</v>
      </c>
      <c r="AM1404" s="2" t="str">
        <f>HYPERLINK("https://transparencia.cidesi.mx/comprobantes/2021/CQ2100754 /C1TOKS_07_09_21_PDF_70149232.pdf")</f>
        <v>https://transparencia.cidesi.mx/comprobantes/2021/CQ2100754 /C1TOKS_07_09_21_PDF_70149232.pdf</v>
      </c>
      <c r="AN1404" t="str">
        <f>HYPERLINK("https://transparencia.cidesi.mx/comprobantes/2021/CQ2100754 /C1TOKS_07_09_21_PDF_70149232.pdf")</f>
        <v>https://transparencia.cidesi.mx/comprobantes/2021/CQ2100754 /C1TOKS_07_09_21_PDF_70149232.pdf</v>
      </c>
      <c r="AO1404" t="str">
        <f>HYPERLINK("https://transparencia.cidesi.mx/comprobantes/2021/CQ2100754 /C1TOKS_07_09_21_XML_70149232.xml")</f>
        <v>https://transparencia.cidesi.mx/comprobantes/2021/CQ2100754 /C1TOKS_07_09_21_XML_70149232.xml</v>
      </c>
      <c r="AP1404" t="s">
        <v>2749</v>
      </c>
      <c r="AQ1404" t="s">
        <v>2749</v>
      </c>
      <c r="AR1404" t="s">
        <v>2635</v>
      </c>
      <c r="AS1404" t="s">
        <v>2636</v>
      </c>
      <c r="AT1404" s="1">
        <v>44448</v>
      </c>
      <c r="AU1404" s="1">
        <v>44453</v>
      </c>
    </row>
    <row r="1405" spans="1:47" x14ac:dyDescent="0.3">
      <c r="A1405" t="s">
        <v>79</v>
      </c>
      <c r="B1405" t="s">
        <v>80</v>
      </c>
      <c r="C1405" t="s">
        <v>81</v>
      </c>
      <c r="D1405">
        <v>100708</v>
      </c>
      <c r="E1405" t="s">
        <v>2627</v>
      </c>
      <c r="F1405" t="s">
        <v>2628</v>
      </c>
      <c r="G1405" t="s">
        <v>2629</v>
      </c>
      <c r="H1405" t="s">
        <v>2750</v>
      </c>
      <c r="I1405" t="s">
        <v>54</v>
      </c>
      <c r="J1405" t="s">
        <v>2751</v>
      </c>
      <c r="K1405" t="s">
        <v>56</v>
      </c>
      <c r="L1405">
        <v>0</v>
      </c>
      <c r="M1405" t="s">
        <v>73</v>
      </c>
      <c r="N1405">
        <v>0</v>
      </c>
      <c r="O1405" t="s">
        <v>58</v>
      </c>
      <c r="P1405" t="s">
        <v>59</v>
      </c>
      <c r="Q1405" t="s">
        <v>60</v>
      </c>
      <c r="R1405" t="s">
        <v>2751</v>
      </c>
      <c r="S1405" s="1">
        <v>44449</v>
      </c>
      <c r="T1405" s="1">
        <v>44449</v>
      </c>
      <c r="U1405">
        <v>37501</v>
      </c>
      <c r="V1405" t="s">
        <v>61</v>
      </c>
      <c r="W1405" t="s">
        <v>2752</v>
      </c>
      <c r="X1405" s="1">
        <v>44449</v>
      </c>
      <c r="Y1405" t="s">
        <v>63</v>
      </c>
      <c r="Z1405">
        <v>431.04</v>
      </c>
      <c r="AA1405">
        <v>16</v>
      </c>
      <c r="AB1405">
        <v>68.959999999999994</v>
      </c>
      <c r="AC1405">
        <v>0</v>
      </c>
      <c r="AD1405">
        <v>500</v>
      </c>
      <c r="AE1405">
        <v>500</v>
      </c>
      <c r="AF1405">
        <v>545</v>
      </c>
      <c r="AG1405" t="s">
        <v>2633</v>
      </c>
      <c r="AH1405" t="s">
        <v>65</v>
      </c>
      <c r="AI1405" t="s">
        <v>65</v>
      </c>
      <c r="AJ1405" t="s">
        <v>66</v>
      </c>
      <c r="AK1405" t="s">
        <v>66</v>
      </c>
      <c r="AL1405" t="s">
        <v>66</v>
      </c>
      <c r="AM1405" s="2" t="str">
        <f>HYPERLINK("https://transparencia.cidesi.mx/comprobantes/2021/CQ2100776 /C1CAMPO BRAVO_10_09_21_PDF_CID840309UG7FC0000017942.pdf")</f>
        <v>https://transparencia.cidesi.mx/comprobantes/2021/CQ2100776 /C1CAMPO BRAVO_10_09_21_PDF_CID840309UG7FC0000017942.pdf</v>
      </c>
      <c r="AN1405" t="str">
        <f>HYPERLINK("https://transparencia.cidesi.mx/comprobantes/2021/CQ2100776 /C1CAMPO BRAVO_10_09_21_PDF_CID840309UG7FC0000017942.pdf")</f>
        <v>https://transparencia.cidesi.mx/comprobantes/2021/CQ2100776 /C1CAMPO BRAVO_10_09_21_PDF_CID840309UG7FC0000017942.pdf</v>
      </c>
      <c r="AO1405" t="str">
        <f>HYPERLINK("https://transparencia.cidesi.mx/comprobantes/2021/CQ2100776 /C1CAMPOBRAVO_10_09_21_XML_CID840309UG7FC0000017942.xml")</f>
        <v>https://transparencia.cidesi.mx/comprobantes/2021/CQ2100776 /C1CAMPOBRAVO_10_09_21_XML_CID840309UG7FC0000017942.xml</v>
      </c>
      <c r="AP1405" t="s">
        <v>2751</v>
      </c>
      <c r="AQ1405" t="s">
        <v>2751</v>
      </c>
      <c r="AR1405" t="s">
        <v>2635</v>
      </c>
      <c r="AS1405" t="s">
        <v>2636</v>
      </c>
      <c r="AT1405" s="1">
        <v>44453</v>
      </c>
      <c r="AU1405" s="1">
        <v>44467</v>
      </c>
    </row>
    <row r="1406" spans="1:47" x14ac:dyDescent="0.3">
      <c r="A1406" t="s">
        <v>79</v>
      </c>
      <c r="B1406" t="s">
        <v>80</v>
      </c>
      <c r="C1406" t="s">
        <v>81</v>
      </c>
      <c r="D1406">
        <v>100708</v>
      </c>
      <c r="E1406" t="s">
        <v>2627</v>
      </c>
      <c r="F1406" t="s">
        <v>2628</v>
      </c>
      <c r="G1406" t="s">
        <v>2629</v>
      </c>
      <c r="H1406" t="s">
        <v>2753</v>
      </c>
      <c r="I1406" t="s">
        <v>54</v>
      </c>
      <c r="J1406" t="s">
        <v>2754</v>
      </c>
      <c r="K1406" t="s">
        <v>56</v>
      </c>
      <c r="L1406">
        <v>0</v>
      </c>
      <c r="M1406" t="s">
        <v>73</v>
      </c>
      <c r="N1406">
        <v>0</v>
      </c>
      <c r="O1406" t="s">
        <v>58</v>
      </c>
      <c r="P1406" t="s">
        <v>59</v>
      </c>
      <c r="Q1406" t="s">
        <v>60</v>
      </c>
      <c r="R1406" t="s">
        <v>2754</v>
      </c>
      <c r="S1406" s="1">
        <v>44452</v>
      </c>
      <c r="T1406" s="1">
        <v>44452</v>
      </c>
      <c r="U1406">
        <v>37501</v>
      </c>
      <c r="V1406" t="s">
        <v>61</v>
      </c>
      <c r="W1406" t="s">
        <v>2755</v>
      </c>
      <c r="X1406" s="1">
        <v>44453</v>
      </c>
      <c r="Y1406" t="s">
        <v>63</v>
      </c>
      <c r="Z1406">
        <v>162.93</v>
      </c>
      <c r="AA1406">
        <v>16</v>
      </c>
      <c r="AB1406">
        <v>26.07</v>
      </c>
      <c r="AC1406">
        <v>18.899999999999999</v>
      </c>
      <c r="AD1406">
        <v>207.9</v>
      </c>
      <c r="AE1406">
        <v>540.9</v>
      </c>
      <c r="AF1406">
        <v>545</v>
      </c>
      <c r="AG1406" t="s">
        <v>2633</v>
      </c>
      <c r="AH1406" t="s">
        <v>65</v>
      </c>
      <c r="AI1406" t="s">
        <v>65</v>
      </c>
      <c r="AJ1406" t="s">
        <v>66</v>
      </c>
      <c r="AK1406" t="s">
        <v>66</v>
      </c>
      <c r="AL1406" t="s">
        <v>66</v>
      </c>
      <c r="AM1406" s="2" t="str">
        <f>HYPERLINK("https://transparencia.cidesi.mx/comprobantes/2021/CQ2100801 /C1ELPALACIO_13_09_21_PDF_e5175b2c-6264-43b2-ac2f-5167f286b491.pdf")</f>
        <v>https://transparencia.cidesi.mx/comprobantes/2021/CQ2100801 /C1ELPALACIO_13_09_21_PDF_e5175b2c-6264-43b2-ac2f-5167f286b491.pdf</v>
      </c>
      <c r="AN1406" t="str">
        <f>HYPERLINK("https://transparencia.cidesi.mx/comprobantes/2021/CQ2100801 /C1ELPALACIO_13_09_21_PDF_e5175b2c-6264-43b2-ac2f-5167f286b491.pdf")</f>
        <v>https://transparencia.cidesi.mx/comprobantes/2021/CQ2100801 /C1ELPALACIO_13_09_21_PDF_e5175b2c-6264-43b2-ac2f-5167f286b491.pdf</v>
      </c>
      <c r="AO1406" t="str">
        <f>HYPERLINK("https://transparencia.cidesi.mx/comprobantes/2021/CQ2100801 /C1ELPALACIO_13_09_21_e5175b2c-6264-43b2-ac2f-5167f286b491.xml")</f>
        <v>https://transparencia.cidesi.mx/comprobantes/2021/CQ2100801 /C1ELPALACIO_13_09_21_e5175b2c-6264-43b2-ac2f-5167f286b491.xml</v>
      </c>
      <c r="AP1406" t="s">
        <v>2754</v>
      </c>
      <c r="AQ1406" t="s">
        <v>2754</v>
      </c>
      <c r="AR1406" t="s">
        <v>2635</v>
      </c>
      <c r="AS1406" t="s">
        <v>2636</v>
      </c>
      <c r="AT1406" s="1">
        <v>44460</v>
      </c>
      <c r="AU1406" s="1">
        <v>44470</v>
      </c>
    </row>
    <row r="1407" spans="1:47" x14ac:dyDescent="0.3">
      <c r="A1407" t="s">
        <v>79</v>
      </c>
      <c r="B1407" t="s">
        <v>80</v>
      </c>
      <c r="C1407" t="s">
        <v>81</v>
      </c>
      <c r="D1407">
        <v>100708</v>
      </c>
      <c r="E1407" t="s">
        <v>2627</v>
      </c>
      <c r="F1407" t="s">
        <v>2628</v>
      </c>
      <c r="G1407" t="s">
        <v>2629</v>
      </c>
      <c r="H1407" t="s">
        <v>2753</v>
      </c>
      <c r="I1407" t="s">
        <v>54</v>
      </c>
      <c r="J1407" t="s">
        <v>2754</v>
      </c>
      <c r="K1407" t="s">
        <v>56</v>
      </c>
      <c r="L1407">
        <v>0</v>
      </c>
      <c r="M1407" t="s">
        <v>73</v>
      </c>
      <c r="N1407">
        <v>0</v>
      </c>
      <c r="O1407" t="s">
        <v>58</v>
      </c>
      <c r="P1407" t="s">
        <v>59</v>
      </c>
      <c r="Q1407" t="s">
        <v>60</v>
      </c>
      <c r="R1407" t="s">
        <v>2754</v>
      </c>
      <c r="S1407" s="1">
        <v>44452</v>
      </c>
      <c r="T1407" s="1">
        <v>44452</v>
      </c>
      <c r="U1407">
        <v>37501</v>
      </c>
      <c r="V1407" t="s">
        <v>61</v>
      </c>
      <c r="W1407" t="s">
        <v>2755</v>
      </c>
      <c r="X1407" s="1">
        <v>44453</v>
      </c>
      <c r="Y1407" t="s">
        <v>63</v>
      </c>
      <c r="Z1407">
        <v>287.07</v>
      </c>
      <c r="AA1407">
        <v>16</v>
      </c>
      <c r="AB1407">
        <v>45.93</v>
      </c>
      <c r="AC1407">
        <v>0</v>
      </c>
      <c r="AD1407">
        <v>333</v>
      </c>
      <c r="AE1407">
        <v>540.9</v>
      </c>
      <c r="AF1407">
        <v>545</v>
      </c>
      <c r="AG1407" t="s">
        <v>2633</v>
      </c>
      <c r="AH1407" t="s">
        <v>65</v>
      </c>
      <c r="AI1407" t="s">
        <v>65</v>
      </c>
      <c r="AJ1407" t="s">
        <v>66</v>
      </c>
      <c r="AK1407" t="s">
        <v>66</v>
      </c>
      <c r="AL1407" t="s">
        <v>66</v>
      </c>
      <c r="AM1407" s="2" t="str">
        <f>HYPERLINK("https://transparencia.cidesi.mx/comprobantes/2021/CQ2100801 /C2COMIDA_13_09_21_PDF_21C077507.pdf")</f>
        <v>https://transparencia.cidesi.mx/comprobantes/2021/CQ2100801 /C2COMIDA_13_09_21_PDF_21C077507.pdf</v>
      </c>
      <c r="AN1407" t="str">
        <f>HYPERLINK("https://transparencia.cidesi.mx/comprobantes/2021/CQ2100801 /C2COMIDA_13_09_21_PDF_21C077507.pdf")</f>
        <v>https://transparencia.cidesi.mx/comprobantes/2021/CQ2100801 /C2COMIDA_13_09_21_PDF_21C077507.pdf</v>
      </c>
      <c r="AO1407" t="str">
        <f>HYPERLINK("https://transparencia.cidesi.mx/comprobantes/2021/CQ2100801 /C2COMIDA_13_09_21_XML_21C077507.xml")</f>
        <v>https://transparencia.cidesi.mx/comprobantes/2021/CQ2100801 /C2COMIDA_13_09_21_XML_21C077507.xml</v>
      </c>
      <c r="AP1407" t="s">
        <v>2754</v>
      </c>
      <c r="AQ1407" t="s">
        <v>2754</v>
      </c>
      <c r="AR1407" t="s">
        <v>2635</v>
      </c>
      <c r="AS1407" t="s">
        <v>2636</v>
      </c>
      <c r="AT1407" s="1">
        <v>44460</v>
      </c>
      <c r="AU1407" s="1">
        <v>44470</v>
      </c>
    </row>
    <row r="1408" spans="1:47" x14ac:dyDescent="0.3">
      <c r="A1408" t="s">
        <v>79</v>
      </c>
      <c r="B1408" t="s">
        <v>80</v>
      </c>
      <c r="C1408" t="s">
        <v>81</v>
      </c>
      <c r="D1408">
        <v>100708</v>
      </c>
      <c r="E1408" t="s">
        <v>2627</v>
      </c>
      <c r="F1408" t="s">
        <v>2628</v>
      </c>
      <c r="G1408" t="s">
        <v>2629</v>
      </c>
      <c r="H1408" t="s">
        <v>2756</v>
      </c>
      <c r="I1408" t="s">
        <v>54</v>
      </c>
      <c r="J1408" t="s">
        <v>2757</v>
      </c>
      <c r="K1408" t="s">
        <v>56</v>
      </c>
      <c r="L1408">
        <v>0</v>
      </c>
      <c r="M1408" t="s">
        <v>73</v>
      </c>
      <c r="N1408">
        <v>0</v>
      </c>
      <c r="O1408" t="s">
        <v>58</v>
      </c>
      <c r="P1408" t="s">
        <v>59</v>
      </c>
      <c r="Q1408" t="s">
        <v>108</v>
      </c>
      <c r="R1408" t="s">
        <v>2757</v>
      </c>
      <c r="S1408" s="1">
        <v>44454</v>
      </c>
      <c r="T1408" s="1">
        <v>44454</v>
      </c>
      <c r="U1408">
        <v>37501</v>
      </c>
      <c r="V1408" t="s">
        <v>61</v>
      </c>
      <c r="W1408" t="s">
        <v>2758</v>
      </c>
      <c r="X1408" s="1">
        <v>44456</v>
      </c>
      <c r="Y1408" t="s">
        <v>63</v>
      </c>
      <c r="Z1408">
        <v>479.14</v>
      </c>
      <c r="AA1408">
        <v>16</v>
      </c>
      <c r="AB1408">
        <v>63.86</v>
      </c>
      <c r="AC1408">
        <v>0</v>
      </c>
      <c r="AD1408">
        <v>543</v>
      </c>
      <c r="AE1408">
        <v>543</v>
      </c>
      <c r="AF1408">
        <v>545</v>
      </c>
      <c r="AG1408" t="s">
        <v>2633</v>
      </c>
      <c r="AH1408" t="s">
        <v>65</v>
      </c>
      <c r="AI1408" t="s">
        <v>65</v>
      </c>
      <c r="AJ1408" t="s">
        <v>66</v>
      </c>
      <c r="AK1408" t="s">
        <v>66</v>
      </c>
      <c r="AL1408" t="s">
        <v>66</v>
      </c>
      <c r="AM1408" s="2" t="str">
        <f>HYPERLINK("https://transparencia.cidesi.mx/comprobantes/2021/CQ2100819 /C1ALIMENTOS_15_09_21_PDF_21C077750.pdf")</f>
        <v>https://transparencia.cidesi.mx/comprobantes/2021/CQ2100819 /C1ALIMENTOS_15_09_21_PDF_21C077750.pdf</v>
      </c>
      <c r="AN1408" t="str">
        <f>HYPERLINK("https://transparencia.cidesi.mx/comprobantes/2021/CQ2100819 /C1ALIMENTOS_15_09_21_PDF_21C077750.pdf")</f>
        <v>https://transparencia.cidesi.mx/comprobantes/2021/CQ2100819 /C1ALIMENTOS_15_09_21_PDF_21C077750.pdf</v>
      </c>
      <c r="AO1408" t="str">
        <f>HYPERLINK("https://transparencia.cidesi.mx/comprobantes/2021/CQ2100819 /C1ALIMENTOS_15_09_21_XML_21C077750.xml")</f>
        <v>https://transparencia.cidesi.mx/comprobantes/2021/CQ2100819 /C1ALIMENTOS_15_09_21_XML_21C077750.xml</v>
      </c>
      <c r="AP1408" t="s">
        <v>2759</v>
      </c>
      <c r="AQ1408" t="s">
        <v>2757</v>
      </c>
      <c r="AR1408" t="s">
        <v>2641</v>
      </c>
      <c r="AS1408" t="s">
        <v>2760</v>
      </c>
      <c r="AT1408" s="1">
        <v>44460</v>
      </c>
      <c r="AU1408" s="1">
        <v>44470</v>
      </c>
    </row>
    <row r="1409" spans="1:47" x14ac:dyDescent="0.3">
      <c r="A1409" t="s">
        <v>79</v>
      </c>
      <c r="B1409" t="s">
        <v>80</v>
      </c>
      <c r="C1409" t="s">
        <v>81</v>
      </c>
      <c r="D1409">
        <v>100708</v>
      </c>
      <c r="E1409" t="s">
        <v>2627</v>
      </c>
      <c r="F1409" t="s">
        <v>2628</v>
      </c>
      <c r="G1409" t="s">
        <v>2629</v>
      </c>
      <c r="H1409" t="s">
        <v>2761</v>
      </c>
      <c r="I1409" t="s">
        <v>54</v>
      </c>
      <c r="J1409" t="s">
        <v>2762</v>
      </c>
      <c r="K1409" t="s">
        <v>56</v>
      </c>
      <c r="L1409">
        <v>0</v>
      </c>
      <c r="M1409" t="s">
        <v>73</v>
      </c>
      <c r="N1409">
        <v>0</v>
      </c>
      <c r="O1409" t="s">
        <v>58</v>
      </c>
      <c r="P1409" t="s">
        <v>59</v>
      </c>
      <c r="Q1409" t="s">
        <v>60</v>
      </c>
      <c r="R1409" t="s">
        <v>2762</v>
      </c>
      <c r="S1409" s="1">
        <v>44456</v>
      </c>
      <c r="T1409" s="1">
        <v>44456</v>
      </c>
      <c r="U1409">
        <v>37501</v>
      </c>
      <c r="V1409" t="s">
        <v>61</v>
      </c>
      <c r="W1409" t="s">
        <v>2763</v>
      </c>
      <c r="X1409" s="1">
        <v>44460</v>
      </c>
      <c r="Y1409" t="s">
        <v>63</v>
      </c>
      <c r="Z1409">
        <v>511.97</v>
      </c>
      <c r="AA1409">
        <v>16</v>
      </c>
      <c r="AB1409">
        <v>11.03</v>
      </c>
      <c r="AC1409">
        <v>0</v>
      </c>
      <c r="AD1409">
        <v>523</v>
      </c>
      <c r="AE1409">
        <v>523</v>
      </c>
      <c r="AF1409">
        <v>545</v>
      </c>
      <c r="AG1409" t="s">
        <v>2633</v>
      </c>
      <c r="AH1409" t="s">
        <v>65</v>
      </c>
      <c r="AI1409" t="s">
        <v>65</v>
      </c>
      <c r="AJ1409" t="s">
        <v>66</v>
      </c>
      <c r="AK1409" t="s">
        <v>66</v>
      </c>
      <c r="AL1409" t="s">
        <v>66</v>
      </c>
      <c r="AM1409" s="2" t="str">
        <f>HYPERLINK("https://transparencia.cidesi.mx/comprobantes/2021/CQ2100844 /C1COMIDA_17_09_21_PDF_21C077935.pdf")</f>
        <v>https://transparencia.cidesi.mx/comprobantes/2021/CQ2100844 /C1COMIDA_17_09_21_PDF_21C077935.pdf</v>
      </c>
      <c r="AN1409" t="str">
        <f>HYPERLINK("https://transparencia.cidesi.mx/comprobantes/2021/CQ2100844 /C1COMIDA_17_09_21_PDF_21C077935.pdf")</f>
        <v>https://transparencia.cidesi.mx/comprobantes/2021/CQ2100844 /C1COMIDA_17_09_21_PDF_21C077935.pdf</v>
      </c>
      <c r="AO1409" t="str">
        <f>HYPERLINK("https://transparencia.cidesi.mx/comprobantes/2021/CQ2100844 /C1COMIDA_17_09_21_XML_21C077935.xml")</f>
        <v>https://transparencia.cidesi.mx/comprobantes/2021/CQ2100844 /C1COMIDA_17_09_21_XML_21C077935.xml</v>
      </c>
      <c r="AP1409" t="s">
        <v>2762</v>
      </c>
      <c r="AQ1409" t="s">
        <v>2762</v>
      </c>
      <c r="AR1409" t="s">
        <v>2635</v>
      </c>
      <c r="AS1409" t="s">
        <v>2636</v>
      </c>
      <c r="AT1409" s="1">
        <v>44463</v>
      </c>
      <c r="AU1409" s="1">
        <v>44470</v>
      </c>
    </row>
    <row r="1410" spans="1:47" x14ac:dyDescent="0.3">
      <c r="A1410" t="s">
        <v>79</v>
      </c>
      <c r="B1410" t="s">
        <v>80</v>
      </c>
      <c r="C1410" t="s">
        <v>81</v>
      </c>
      <c r="D1410">
        <v>100708</v>
      </c>
      <c r="E1410" t="s">
        <v>2627</v>
      </c>
      <c r="F1410" t="s">
        <v>2628</v>
      </c>
      <c r="G1410" t="s">
        <v>2629</v>
      </c>
      <c r="H1410" t="s">
        <v>2764</v>
      </c>
      <c r="I1410" t="s">
        <v>54</v>
      </c>
      <c r="J1410" t="s">
        <v>2765</v>
      </c>
      <c r="K1410" t="s">
        <v>56</v>
      </c>
      <c r="L1410">
        <v>0</v>
      </c>
      <c r="M1410" t="s">
        <v>73</v>
      </c>
      <c r="N1410">
        <v>0</v>
      </c>
      <c r="O1410" t="s">
        <v>58</v>
      </c>
      <c r="P1410" t="s">
        <v>59</v>
      </c>
      <c r="Q1410" t="s">
        <v>601</v>
      </c>
      <c r="R1410" t="s">
        <v>2765</v>
      </c>
      <c r="S1410" s="1">
        <v>44459</v>
      </c>
      <c r="T1410" s="1">
        <v>44459</v>
      </c>
      <c r="U1410">
        <v>37501</v>
      </c>
      <c r="V1410" t="s">
        <v>61</v>
      </c>
      <c r="W1410" t="s">
        <v>2766</v>
      </c>
      <c r="X1410" s="1">
        <v>44460</v>
      </c>
      <c r="Y1410" t="s">
        <v>63</v>
      </c>
      <c r="Z1410">
        <v>496.17</v>
      </c>
      <c r="AA1410">
        <v>16</v>
      </c>
      <c r="AB1410">
        <v>44.83</v>
      </c>
      <c r="AC1410">
        <v>0</v>
      </c>
      <c r="AD1410">
        <v>541</v>
      </c>
      <c r="AE1410">
        <v>541</v>
      </c>
      <c r="AF1410">
        <v>545</v>
      </c>
      <c r="AG1410" t="s">
        <v>2633</v>
      </c>
      <c r="AH1410" t="s">
        <v>65</v>
      </c>
      <c r="AI1410" t="s">
        <v>65</v>
      </c>
      <c r="AJ1410" t="s">
        <v>66</v>
      </c>
      <c r="AK1410" t="s">
        <v>66</v>
      </c>
      <c r="AL1410" t="s">
        <v>66</v>
      </c>
      <c r="AM1410" s="2" t="str">
        <f>HYPERLINK("https://transparencia.cidesi.mx/comprobantes/2021/CQ2100845 /C1ALIMENTOS_20_09_21_PDF_21C078102.pdf")</f>
        <v>https://transparencia.cidesi.mx/comprobantes/2021/CQ2100845 /C1ALIMENTOS_20_09_21_PDF_21C078102.pdf</v>
      </c>
      <c r="AN1410" t="str">
        <f>HYPERLINK("https://transparencia.cidesi.mx/comprobantes/2021/CQ2100845 /C1ALIMENTOS_20_09_21_PDF_21C078102.pdf")</f>
        <v>https://transparencia.cidesi.mx/comprobantes/2021/CQ2100845 /C1ALIMENTOS_20_09_21_PDF_21C078102.pdf</v>
      </c>
      <c r="AO1410" t="str">
        <f>HYPERLINK("https://transparencia.cidesi.mx/comprobantes/2021/CQ2100845 /C1ALIMENTOS_20_09_21_XML_21C078102.xml")</f>
        <v>https://transparencia.cidesi.mx/comprobantes/2021/CQ2100845 /C1ALIMENTOS_20_09_21_XML_21C078102.xml</v>
      </c>
      <c r="AP1410" t="s">
        <v>2767</v>
      </c>
      <c r="AQ1410" t="s">
        <v>2765</v>
      </c>
      <c r="AR1410" t="s">
        <v>2635</v>
      </c>
      <c r="AS1410" t="s">
        <v>2636</v>
      </c>
      <c r="AT1410" s="1">
        <v>44463</v>
      </c>
      <c r="AU1410" s="1">
        <v>44470</v>
      </c>
    </row>
    <row r="1411" spans="1:47" x14ac:dyDescent="0.3">
      <c r="A1411" t="s">
        <v>79</v>
      </c>
      <c r="B1411" t="s">
        <v>80</v>
      </c>
      <c r="C1411" t="s">
        <v>81</v>
      </c>
      <c r="D1411">
        <v>100708</v>
      </c>
      <c r="E1411" t="s">
        <v>2627</v>
      </c>
      <c r="F1411" t="s">
        <v>2628</v>
      </c>
      <c r="G1411" t="s">
        <v>2629</v>
      </c>
      <c r="H1411" t="s">
        <v>2768</v>
      </c>
      <c r="I1411" t="s">
        <v>54</v>
      </c>
      <c r="J1411" t="s">
        <v>2769</v>
      </c>
      <c r="K1411" t="s">
        <v>56</v>
      </c>
      <c r="L1411">
        <v>0</v>
      </c>
      <c r="M1411" t="s">
        <v>73</v>
      </c>
      <c r="N1411">
        <v>0</v>
      </c>
      <c r="O1411" t="s">
        <v>58</v>
      </c>
      <c r="P1411" t="s">
        <v>59</v>
      </c>
      <c r="Q1411" t="s">
        <v>738</v>
      </c>
      <c r="R1411" t="s">
        <v>2769</v>
      </c>
      <c r="S1411" s="1">
        <v>44461</v>
      </c>
      <c r="T1411" s="1">
        <v>44461</v>
      </c>
      <c r="U1411">
        <v>37501</v>
      </c>
      <c r="V1411" t="s">
        <v>61</v>
      </c>
      <c r="W1411" t="s">
        <v>2770</v>
      </c>
      <c r="X1411" s="1">
        <v>44462</v>
      </c>
      <c r="Y1411" t="s">
        <v>63</v>
      </c>
      <c r="Z1411">
        <v>419.83</v>
      </c>
      <c r="AA1411">
        <v>16</v>
      </c>
      <c r="AB1411">
        <v>67.17</v>
      </c>
      <c r="AC1411">
        <v>0</v>
      </c>
      <c r="AD1411">
        <v>487</v>
      </c>
      <c r="AE1411">
        <v>519</v>
      </c>
      <c r="AF1411">
        <v>545</v>
      </c>
      <c r="AG1411" t="s">
        <v>2633</v>
      </c>
      <c r="AH1411" t="s">
        <v>65</v>
      </c>
      <c r="AI1411" t="s">
        <v>65</v>
      </c>
      <c r="AJ1411" t="s">
        <v>66</v>
      </c>
      <c r="AK1411" t="s">
        <v>66</v>
      </c>
      <c r="AL1411" t="s">
        <v>66</v>
      </c>
      <c r="AM1411" s="2" t="str">
        <f>HYPERLINK("https://transparencia.cidesi.mx/comprobantes/2021/CQ2100867 /C1CHILIS_22_07_21_PDF_70368127.pdf")</f>
        <v>https://transparencia.cidesi.mx/comprobantes/2021/CQ2100867 /C1CHILIS_22_07_21_PDF_70368127.pdf</v>
      </c>
      <c r="AN1411" t="str">
        <f>HYPERLINK("https://transparencia.cidesi.mx/comprobantes/2021/CQ2100867 /C1CHILIS_22_07_21_PDF_70368127.pdf")</f>
        <v>https://transparencia.cidesi.mx/comprobantes/2021/CQ2100867 /C1CHILIS_22_07_21_PDF_70368127.pdf</v>
      </c>
      <c r="AO1411" t="str">
        <f>HYPERLINK("https://transparencia.cidesi.mx/comprobantes/2021/CQ2100867 /C1CHILIS_22_09_21_XML_70368127.xml")</f>
        <v>https://transparencia.cidesi.mx/comprobantes/2021/CQ2100867 /C1CHILIS_22_09_21_XML_70368127.xml</v>
      </c>
      <c r="AP1411" t="s">
        <v>2769</v>
      </c>
      <c r="AQ1411" t="s">
        <v>2769</v>
      </c>
      <c r="AR1411" t="s">
        <v>2635</v>
      </c>
      <c r="AS1411" t="s">
        <v>2636</v>
      </c>
      <c r="AT1411" s="1">
        <v>44468</v>
      </c>
      <c r="AU1411" s="1">
        <v>44470</v>
      </c>
    </row>
    <row r="1412" spans="1:47" x14ac:dyDescent="0.3">
      <c r="A1412" t="s">
        <v>79</v>
      </c>
      <c r="B1412" t="s">
        <v>80</v>
      </c>
      <c r="C1412" t="s">
        <v>81</v>
      </c>
      <c r="D1412">
        <v>100708</v>
      </c>
      <c r="E1412" t="s">
        <v>2627</v>
      </c>
      <c r="F1412" t="s">
        <v>2628</v>
      </c>
      <c r="G1412" t="s">
        <v>2629</v>
      </c>
      <c r="H1412" t="s">
        <v>2768</v>
      </c>
      <c r="I1412" t="s">
        <v>54</v>
      </c>
      <c r="J1412" t="s">
        <v>2769</v>
      </c>
      <c r="K1412" t="s">
        <v>56</v>
      </c>
      <c r="L1412">
        <v>0</v>
      </c>
      <c r="M1412" t="s">
        <v>73</v>
      </c>
      <c r="N1412">
        <v>0</v>
      </c>
      <c r="O1412" t="s">
        <v>58</v>
      </c>
      <c r="P1412" t="s">
        <v>59</v>
      </c>
      <c r="Q1412" t="s">
        <v>738</v>
      </c>
      <c r="R1412" t="s">
        <v>2769</v>
      </c>
      <c r="S1412" s="1">
        <v>44461</v>
      </c>
      <c r="T1412" s="1">
        <v>44461</v>
      </c>
      <c r="U1412">
        <v>37501</v>
      </c>
      <c r="V1412" t="s">
        <v>61</v>
      </c>
      <c r="W1412" t="s">
        <v>2770</v>
      </c>
      <c r="X1412" s="1">
        <v>44462</v>
      </c>
      <c r="Y1412" t="s">
        <v>63</v>
      </c>
      <c r="Z1412">
        <v>29.95</v>
      </c>
      <c r="AA1412">
        <v>16</v>
      </c>
      <c r="AB1412">
        <v>2.0499999999999998</v>
      </c>
      <c r="AC1412">
        <v>0</v>
      </c>
      <c r="AD1412">
        <v>32</v>
      </c>
      <c r="AE1412">
        <v>519</v>
      </c>
      <c r="AF1412">
        <v>545</v>
      </c>
      <c r="AG1412" t="s">
        <v>2633</v>
      </c>
      <c r="AH1412" t="s">
        <v>65</v>
      </c>
      <c r="AI1412" t="s">
        <v>65</v>
      </c>
      <c r="AJ1412" t="s">
        <v>66</v>
      </c>
      <c r="AK1412" t="s">
        <v>66</v>
      </c>
      <c r="AL1412" t="s">
        <v>66</v>
      </c>
      <c r="AM1412" s="2" t="str">
        <f>HYPERLINK("https://transparencia.cidesi.mx/comprobantes/2021/CQ2100867 /C2OXXO_22_09_21_PDF_FACTURA_1632406438446_345607365.pdf")</f>
        <v>https://transparencia.cidesi.mx/comprobantes/2021/CQ2100867 /C2OXXO_22_09_21_PDF_FACTURA_1632406438446_345607365.pdf</v>
      </c>
      <c r="AN1412" t="str">
        <f>HYPERLINK("https://transparencia.cidesi.mx/comprobantes/2021/CQ2100867 /C2OXXO_22_09_21_PDF_FACTURA_1632406438446_345607365.pdf")</f>
        <v>https://transparencia.cidesi.mx/comprobantes/2021/CQ2100867 /C2OXXO_22_09_21_PDF_FACTURA_1632406438446_345607365.pdf</v>
      </c>
      <c r="AO1412" t="str">
        <f>HYPERLINK("https://transparencia.cidesi.mx/comprobantes/2021/CQ2100867 /C2OXXO_22_09_21_XML_FACTURA_1632406478975_345607365.xml")</f>
        <v>https://transparencia.cidesi.mx/comprobantes/2021/CQ2100867 /C2OXXO_22_09_21_XML_FACTURA_1632406478975_345607365.xml</v>
      </c>
      <c r="AP1412" t="s">
        <v>2769</v>
      </c>
      <c r="AQ1412" t="s">
        <v>2769</v>
      </c>
      <c r="AR1412" t="s">
        <v>2635</v>
      </c>
      <c r="AS1412" t="s">
        <v>2636</v>
      </c>
      <c r="AT1412" s="1">
        <v>44468</v>
      </c>
      <c r="AU1412" s="1">
        <v>44470</v>
      </c>
    </row>
    <row r="1413" spans="1:47" x14ac:dyDescent="0.3">
      <c r="A1413" t="s">
        <v>79</v>
      </c>
      <c r="B1413" t="s">
        <v>80</v>
      </c>
      <c r="C1413" t="s">
        <v>81</v>
      </c>
      <c r="D1413">
        <v>100708</v>
      </c>
      <c r="E1413" t="s">
        <v>2627</v>
      </c>
      <c r="F1413" t="s">
        <v>2628</v>
      </c>
      <c r="G1413" t="s">
        <v>2629</v>
      </c>
      <c r="H1413" t="s">
        <v>2771</v>
      </c>
      <c r="I1413" t="s">
        <v>54</v>
      </c>
      <c r="J1413" t="s">
        <v>2772</v>
      </c>
      <c r="K1413" t="s">
        <v>56</v>
      </c>
      <c r="L1413">
        <v>0</v>
      </c>
      <c r="M1413" t="s">
        <v>73</v>
      </c>
      <c r="N1413">
        <v>0</v>
      </c>
      <c r="O1413" t="s">
        <v>58</v>
      </c>
      <c r="P1413" t="s">
        <v>59</v>
      </c>
      <c r="Q1413" t="s">
        <v>601</v>
      </c>
      <c r="R1413" t="s">
        <v>2772</v>
      </c>
      <c r="S1413" s="1">
        <v>44466</v>
      </c>
      <c r="T1413" s="1">
        <v>44466</v>
      </c>
      <c r="U1413">
        <v>37501</v>
      </c>
      <c r="V1413" t="s">
        <v>61</v>
      </c>
      <c r="W1413" t="s">
        <v>2773</v>
      </c>
      <c r="X1413" s="1">
        <v>44467</v>
      </c>
      <c r="Y1413" t="s">
        <v>207</v>
      </c>
      <c r="Z1413">
        <v>58.79</v>
      </c>
      <c r="AA1413">
        <v>16</v>
      </c>
      <c r="AB1413">
        <v>2.21</v>
      </c>
      <c r="AC1413">
        <v>0</v>
      </c>
      <c r="AD1413">
        <v>61</v>
      </c>
      <c r="AE1413">
        <v>232</v>
      </c>
      <c r="AF1413">
        <v>545</v>
      </c>
      <c r="AG1413" t="s">
        <v>2633</v>
      </c>
      <c r="AH1413" t="s">
        <v>65</v>
      </c>
      <c r="AI1413" t="s">
        <v>65</v>
      </c>
      <c r="AJ1413" t="s">
        <v>66</v>
      </c>
      <c r="AK1413" t="s">
        <v>66</v>
      </c>
      <c r="AL1413" t="s">
        <v>66</v>
      </c>
      <c r="AM1413" s="2" t="str">
        <f>HYPERLINK("https://transparencia.cidesi.mx/comprobantes/2021/CQ2100898 /C1OXXO_27_09_21_PDF_FACTURA_1632835515327_346278789.pdf")</f>
        <v>https://transparencia.cidesi.mx/comprobantes/2021/CQ2100898 /C1OXXO_27_09_21_PDF_FACTURA_1632835515327_346278789.pdf</v>
      </c>
      <c r="AN1413" t="str">
        <f>HYPERLINK("https://transparencia.cidesi.mx/comprobantes/2021/CQ2100898 /C1OXXO_27_09_21_PDF_FACTURA_1632835515327_346278789.pdf")</f>
        <v>https://transparencia.cidesi.mx/comprobantes/2021/CQ2100898 /C1OXXO_27_09_21_PDF_FACTURA_1632835515327_346278789.pdf</v>
      </c>
      <c r="AO1413" t="str">
        <f>HYPERLINK("https://transparencia.cidesi.mx/comprobantes/2021/CQ2100898 /C1OXXO_27_09_21_XML_FACTURA_1632835515327_346278789.xml")</f>
        <v>https://transparencia.cidesi.mx/comprobantes/2021/CQ2100898 /C1OXXO_27_09_21_XML_FACTURA_1632835515327_346278789.xml</v>
      </c>
      <c r="AP1413" t="s">
        <v>2774</v>
      </c>
      <c r="AQ1413" t="s">
        <v>2772</v>
      </c>
      <c r="AR1413" t="s">
        <v>2635</v>
      </c>
      <c r="AS1413" t="s">
        <v>2636</v>
      </c>
      <c r="AT1413" s="1">
        <v>44474</v>
      </c>
      <c r="AU1413" t="s">
        <v>73</v>
      </c>
    </row>
    <row r="1414" spans="1:47" x14ac:dyDescent="0.3">
      <c r="A1414" t="s">
        <v>79</v>
      </c>
      <c r="B1414" t="s">
        <v>80</v>
      </c>
      <c r="C1414" t="s">
        <v>81</v>
      </c>
      <c r="D1414">
        <v>100708</v>
      </c>
      <c r="E1414" t="s">
        <v>2627</v>
      </c>
      <c r="F1414" t="s">
        <v>2628</v>
      </c>
      <c r="G1414" t="s">
        <v>2629</v>
      </c>
      <c r="H1414" t="s">
        <v>2771</v>
      </c>
      <c r="I1414" t="s">
        <v>54</v>
      </c>
      <c r="J1414" t="s">
        <v>2772</v>
      </c>
      <c r="K1414" t="s">
        <v>56</v>
      </c>
      <c r="L1414">
        <v>0</v>
      </c>
      <c r="M1414" t="s">
        <v>73</v>
      </c>
      <c r="N1414">
        <v>0</v>
      </c>
      <c r="O1414" t="s">
        <v>58</v>
      </c>
      <c r="P1414" t="s">
        <v>59</v>
      </c>
      <c r="Q1414" t="s">
        <v>601</v>
      </c>
      <c r="R1414" t="s">
        <v>2772</v>
      </c>
      <c r="S1414" s="1">
        <v>44466</v>
      </c>
      <c r="T1414" s="1">
        <v>44466</v>
      </c>
      <c r="U1414">
        <v>37501</v>
      </c>
      <c r="V1414" t="s">
        <v>61</v>
      </c>
      <c r="W1414" t="s">
        <v>2773</v>
      </c>
      <c r="X1414" s="1">
        <v>44467</v>
      </c>
      <c r="Y1414" t="s">
        <v>207</v>
      </c>
      <c r="Z1414">
        <v>147.41</v>
      </c>
      <c r="AA1414">
        <v>16</v>
      </c>
      <c r="AB1414">
        <v>23.59</v>
      </c>
      <c r="AC1414">
        <v>0</v>
      </c>
      <c r="AD1414">
        <v>171</v>
      </c>
      <c r="AE1414">
        <v>232</v>
      </c>
      <c r="AF1414">
        <v>545</v>
      </c>
      <c r="AG1414" t="s">
        <v>2633</v>
      </c>
      <c r="AH1414" t="s">
        <v>65</v>
      </c>
      <c r="AI1414" t="s">
        <v>65</v>
      </c>
      <c r="AJ1414" t="s">
        <v>66</v>
      </c>
      <c r="AK1414" t="s">
        <v>66</v>
      </c>
      <c r="AL1414" t="s">
        <v>66</v>
      </c>
      <c r="AM1414" s="2" t="str">
        <f>HYPERLINK("https://transparencia.cidesi.mx/comprobantes/2021/CQ2100898 /C2LINDAVISTA_27_09_21_PDF_RLI930128AI5CFDI-568509.pdf")</f>
        <v>https://transparencia.cidesi.mx/comprobantes/2021/CQ2100898 /C2LINDAVISTA_27_09_21_PDF_RLI930128AI5CFDI-568509.pdf</v>
      </c>
      <c r="AN1414" t="str">
        <f>HYPERLINK("https://transparencia.cidesi.mx/comprobantes/2021/CQ2100898 /C2LINDAVISTA_27_09_21_PDF_RLI930128AI5CFDI-568509.pdf")</f>
        <v>https://transparencia.cidesi.mx/comprobantes/2021/CQ2100898 /C2LINDAVISTA_27_09_21_PDF_RLI930128AI5CFDI-568509.pdf</v>
      </c>
      <c r="AO1414" t="str">
        <f>HYPERLINK("https://transparencia.cidesi.mx/comprobantes/2021/CQ2100898 /C2LINDAVISTA27_09_21_XML_RLI930128AI5CFDI-568509.xml")</f>
        <v>https://transparencia.cidesi.mx/comprobantes/2021/CQ2100898 /C2LINDAVISTA27_09_21_XML_RLI930128AI5CFDI-568509.xml</v>
      </c>
      <c r="AP1414" t="s">
        <v>2774</v>
      </c>
      <c r="AQ1414" t="s">
        <v>2772</v>
      </c>
      <c r="AR1414" t="s">
        <v>2635</v>
      </c>
      <c r="AS1414" t="s">
        <v>2636</v>
      </c>
      <c r="AT1414" s="1">
        <v>44474</v>
      </c>
      <c r="AU1414" t="s">
        <v>73</v>
      </c>
    </row>
    <row r="1415" spans="1:47" x14ac:dyDescent="0.3">
      <c r="A1415" t="s">
        <v>79</v>
      </c>
      <c r="B1415" t="s">
        <v>80</v>
      </c>
      <c r="C1415" t="s">
        <v>81</v>
      </c>
      <c r="D1415">
        <v>100708</v>
      </c>
      <c r="E1415" t="s">
        <v>2627</v>
      </c>
      <c r="F1415" t="s">
        <v>2628</v>
      </c>
      <c r="G1415" t="s">
        <v>2629</v>
      </c>
      <c r="H1415" t="s">
        <v>2775</v>
      </c>
      <c r="I1415" t="s">
        <v>54</v>
      </c>
      <c r="J1415" t="s">
        <v>2776</v>
      </c>
      <c r="K1415" t="s">
        <v>56</v>
      </c>
      <c r="L1415">
        <v>0</v>
      </c>
      <c r="M1415" t="s">
        <v>73</v>
      </c>
      <c r="N1415">
        <v>0</v>
      </c>
      <c r="O1415" t="s">
        <v>58</v>
      </c>
      <c r="P1415" t="s">
        <v>59</v>
      </c>
      <c r="Q1415" t="s">
        <v>60</v>
      </c>
      <c r="R1415" t="s">
        <v>2776</v>
      </c>
      <c r="S1415" s="1">
        <v>44467</v>
      </c>
      <c r="T1415" s="1">
        <v>44467</v>
      </c>
      <c r="U1415">
        <v>37501</v>
      </c>
      <c r="V1415" t="s">
        <v>61</v>
      </c>
      <c r="W1415" t="s">
        <v>2777</v>
      </c>
      <c r="X1415" s="1">
        <v>44472</v>
      </c>
      <c r="Y1415" t="s">
        <v>207</v>
      </c>
      <c r="Z1415">
        <v>424.14</v>
      </c>
      <c r="AA1415">
        <v>16</v>
      </c>
      <c r="AB1415">
        <v>67.86</v>
      </c>
      <c r="AC1415">
        <v>0</v>
      </c>
      <c r="AD1415">
        <v>492</v>
      </c>
      <c r="AE1415">
        <v>537</v>
      </c>
      <c r="AF1415">
        <v>545</v>
      </c>
      <c r="AG1415" t="s">
        <v>2633</v>
      </c>
      <c r="AH1415" t="s">
        <v>65</v>
      </c>
      <c r="AI1415" t="s">
        <v>65</v>
      </c>
      <c r="AJ1415" t="s">
        <v>66</v>
      </c>
      <c r="AK1415" t="s">
        <v>66</v>
      </c>
      <c r="AL1415" t="s">
        <v>66</v>
      </c>
      <c r="AM1415" s="2" t="str">
        <f>HYPERLINK("https://transparencia.cidesi.mx/comprobantes/2021/CQ2100929 /C1ALIMENTOS_28_09_21_PDF_21C078777.pdf")</f>
        <v>https://transparencia.cidesi.mx/comprobantes/2021/CQ2100929 /C1ALIMENTOS_28_09_21_PDF_21C078777.pdf</v>
      </c>
      <c r="AN1415" t="str">
        <f>HYPERLINK("https://transparencia.cidesi.mx/comprobantes/2021/CQ2100929 /C1ALIMENTOS_28_09_21_PDF_21C078777.pdf")</f>
        <v>https://transparencia.cidesi.mx/comprobantes/2021/CQ2100929 /C1ALIMENTOS_28_09_21_PDF_21C078777.pdf</v>
      </c>
      <c r="AO1415" t="str">
        <f>HYPERLINK("https://transparencia.cidesi.mx/comprobantes/2021/CQ2100929 /C1ALIMENTOS_28_09_21_XML_21C078777.xml")</f>
        <v>https://transparencia.cidesi.mx/comprobantes/2021/CQ2100929 /C1ALIMENTOS_28_09_21_XML_21C078777.xml</v>
      </c>
      <c r="AP1415" t="s">
        <v>2776</v>
      </c>
      <c r="AQ1415" t="s">
        <v>2776</v>
      </c>
      <c r="AR1415" t="s">
        <v>2635</v>
      </c>
      <c r="AS1415" t="s">
        <v>2636</v>
      </c>
      <c r="AT1415" s="1">
        <v>44474</v>
      </c>
      <c r="AU1415" t="s">
        <v>73</v>
      </c>
    </row>
    <row r="1416" spans="1:47" x14ac:dyDescent="0.3">
      <c r="A1416" t="s">
        <v>79</v>
      </c>
      <c r="B1416" t="s">
        <v>80</v>
      </c>
      <c r="C1416" t="s">
        <v>81</v>
      </c>
      <c r="D1416">
        <v>100708</v>
      </c>
      <c r="E1416" t="s">
        <v>2627</v>
      </c>
      <c r="F1416" t="s">
        <v>2628</v>
      </c>
      <c r="G1416" t="s">
        <v>2629</v>
      </c>
      <c r="H1416" t="s">
        <v>2775</v>
      </c>
      <c r="I1416" t="s">
        <v>54</v>
      </c>
      <c r="J1416" t="s">
        <v>2776</v>
      </c>
      <c r="K1416" t="s">
        <v>56</v>
      </c>
      <c r="L1416">
        <v>0</v>
      </c>
      <c r="M1416" t="s">
        <v>73</v>
      </c>
      <c r="N1416">
        <v>0</v>
      </c>
      <c r="O1416" t="s">
        <v>58</v>
      </c>
      <c r="P1416" t="s">
        <v>59</v>
      </c>
      <c r="Q1416" t="s">
        <v>60</v>
      </c>
      <c r="R1416" t="s">
        <v>2776</v>
      </c>
      <c r="S1416" s="1">
        <v>44467</v>
      </c>
      <c r="T1416" s="1">
        <v>44467</v>
      </c>
      <c r="U1416">
        <v>37501</v>
      </c>
      <c r="V1416" t="s">
        <v>1009</v>
      </c>
      <c r="W1416" t="s">
        <v>2777</v>
      </c>
      <c r="X1416" s="1">
        <v>44472</v>
      </c>
      <c r="Y1416" t="s">
        <v>207</v>
      </c>
      <c r="Z1416">
        <v>38.79</v>
      </c>
      <c r="AA1416">
        <v>16</v>
      </c>
      <c r="AB1416">
        <v>6.21</v>
      </c>
      <c r="AC1416">
        <v>0</v>
      </c>
      <c r="AD1416">
        <v>45</v>
      </c>
      <c r="AE1416">
        <v>537</v>
      </c>
      <c r="AF1416">
        <v>545</v>
      </c>
      <c r="AG1416" t="s">
        <v>2778</v>
      </c>
      <c r="AH1416" t="s">
        <v>66</v>
      </c>
      <c r="AI1416" t="s">
        <v>65</v>
      </c>
      <c r="AJ1416" t="s">
        <v>66</v>
      </c>
      <c r="AK1416" t="s">
        <v>66</v>
      </c>
      <c r="AL1416" t="s">
        <v>66</v>
      </c>
      <c r="AM1416" s="2" t="str">
        <f>HYPERLINK("https://transparencia.cidesi.mx/comprobantes/2021/CQ2100929 /C2ESTACIONAMIENTO_28_09_21_PDF_CFDI_F_BPA091110NR7_CID840309UG7_2021-09-28_78992.pdf")</f>
        <v>https://transparencia.cidesi.mx/comprobantes/2021/CQ2100929 /C2ESTACIONAMIENTO_28_09_21_PDF_CFDI_F_BPA091110NR7_CID840309UG7_2021-09-28_78992.pdf</v>
      </c>
      <c r="AN1416" t="str">
        <f>HYPERLINK("https://transparencia.cidesi.mx/comprobantes/2021/CQ2100929 /C2ESTACIONAMIENTO_28_09_21_PDF_CFDI_F_BPA091110NR7_CID840309UG7_2021-09-28_78992.pdf")</f>
        <v>https://transparencia.cidesi.mx/comprobantes/2021/CQ2100929 /C2ESTACIONAMIENTO_28_09_21_PDF_CFDI_F_BPA091110NR7_CID840309UG7_2021-09-28_78992.pdf</v>
      </c>
      <c r="AO1416" t="str">
        <f>HYPERLINK("https://transparencia.cidesi.mx/comprobantes/2021/CQ2100929 /C2ESTACIONAMIENTO_28_09_21_XML_CFDI_F_BPA091110NR7_CID840309UG7_2021-09-28_78992.xml")</f>
        <v>https://transparencia.cidesi.mx/comprobantes/2021/CQ2100929 /C2ESTACIONAMIENTO_28_09_21_XML_CFDI_F_BPA091110NR7_CID840309UG7_2021-09-28_78992.xml</v>
      </c>
      <c r="AP1416" t="s">
        <v>2776</v>
      </c>
      <c r="AQ1416" t="s">
        <v>2776</v>
      </c>
      <c r="AR1416" t="s">
        <v>2635</v>
      </c>
      <c r="AS1416" t="s">
        <v>2636</v>
      </c>
      <c r="AT1416" s="1">
        <v>44474</v>
      </c>
      <c r="AU1416" t="s">
        <v>73</v>
      </c>
    </row>
    <row r="1417" spans="1:47" x14ac:dyDescent="0.3">
      <c r="A1417" t="s">
        <v>79</v>
      </c>
      <c r="B1417" t="s">
        <v>80</v>
      </c>
      <c r="C1417" t="s">
        <v>81</v>
      </c>
      <c r="D1417">
        <v>100708</v>
      </c>
      <c r="E1417" t="s">
        <v>2627</v>
      </c>
      <c r="F1417" t="s">
        <v>2628</v>
      </c>
      <c r="G1417" t="s">
        <v>2629</v>
      </c>
      <c r="H1417" t="s">
        <v>2779</v>
      </c>
      <c r="I1417" t="s">
        <v>54</v>
      </c>
      <c r="J1417" t="s">
        <v>2780</v>
      </c>
      <c r="K1417" t="s">
        <v>56</v>
      </c>
      <c r="L1417">
        <v>0</v>
      </c>
      <c r="M1417" t="s">
        <v>73</v>
      </c>
      <c r="N1417">
        <v>0</v>
      </c>
      <c r="O1417" t="s">
        <v>58</v>
      </c>
      <c r="P1417" t="s">
        <v>59</v>
      </c>
      <c r="Q1417" t="s">
        <v>60</v>
      </c>
      <c r="R1417" t="s">
        <v>2780</v>
      </c>
      <c r="S1417" s="1">
        <v>44468</v>
      </c>
      <c r="T1417" s="1">
        <v>44468</v>
      </c>
      <c r="U1417">
        <v>37501</v>
      </c>
      <c r="V1417" t="s">
        <v>61</v>
      </c>
      <c r="W1417" t="s">
        <v>2781</v>
      </c>
      <c r="X1417" s="1">
        <v>44472</v>
      </c>
      <c r="Y1417" t="s">
        <v>207</v>
      </c>
      <c r="Z1417">
        <v>439.03</v>
      </c>
      <c r="AA1417">
        <v>16</v>
      </c>
      <c r="AB1417">
        <v>48.97</v>
      </c>
      <c r="AC1417">
        <v>0</v>
      </c>
      <c r="AD1417">
        <v>488</v>
      </c>
      <c r="AE1417">
        <v>488</v>
      </c>
      <c r="AF1417">
        <v>545</v>
      </c>
      <c r="AG1417" t="s">
        <v>2633</v>
      </c>
      <c r="AH1417" t="s">
        <v>65</v>
      </c>
      <c r="AI1417" t="s">
        <v>65</v>
      </c>
      <c r="AJ1417" t="s">
        <v>66</v>
      </c>
      <c r="AK1417" t="s">
        <v>66</v>
      </c>
      <c r="AL1417" t="s">
        <v>66</v>
      </c>
      <c r="AM1417" s="2" t="str">
        <f>HYPERLINK("https://transparencia.cidesi.mx/comprobantes/2021/CQ2100930 /C1COMIDA_29_09_21_PDF_21C078883.pdf")</f>
        <v>https://transparencia.cidesi.mx/comprobantes/2021/CQ2100930 /C1COMIDA_29_09_21_PDF_21C078883.pdf</v>
      </c>
      <c r="AN1417" t="str">
        <f>HYPERLINK("https://transparencia.cidesi.mx/comprobantes/2021/CQ2100930 /C1COMIDA_29_09_21_PDF_21C078883.pdf")</f>
        <v>https://transparencia.cidesi.mx/comprobantes/2021/CQ2100930 /C1COMIDA_29_09_21_PDF_21C078883.pdf</v>
      </c>
      <c r="AO1417" t="str">
        <f>HYPERLINK("https://transparencia.cidesi.mx/comprobantes/2021/CQ2100930 /C1COMIDA_29_09_21_XML_21C078883.xml")</f>
        <v>https://transparencia.cidesi.mx/comprobantes/2021/CQ2100930 /C1COMIDA_29_09_21_XML_21C078883.xml</v>
      </c>
      <c r="AP1417" t="s">
        <v>2780</v>
      </c>
      <c r="AQ1417" t="s">
        <v>2780</v>
      </c>
      <c r="AR1417" t="s">
        <v>2635</v>
      </c>
      <c r="AS1417" t="s">
        <v>2636</v>
      </c>
      <c r="AT1417" s="1">
        <v>44474</v>
      </c>
      <c r="AU1417" t="s">
        <v>73</v>
      </c>
    </row>
    <row r="1418" spans="1:47" x14ac:dyDescent="0.3">
      <c r="A1418" t="s">
        <v>246</v>
      </c>
      <c r="B1418" t="s">
        <v>48</v>
      </c>
      <c r="C1418" t="s">
        <v>338</v>
      </c>
      <c r="D1418">
        <v>100740</v>
      </c>
      <c r="E1418" t="s">
        <v>2782</v>
      </c>
      <c r="F1418" t="s">
        <v>1056</v>
      </c>
      <c r="G1418" t="s">
        <v>1154</v>
      </c>
      <c r="H1418" t="s">
        <v>2783</v>
      </c>
      <c r="I1418" t="s">
        <v>54</v>
      </c>
      <c r="J1418" t="s">
        <v>2784</v>
      </c>
      <c r="K1418" t="s">
        <v>56</v>
      </c>
      <c r="L1418">
        <v>0</v>
      </c>
      <c r="M1418" t="s">
        <v>73</v>
      </c>
      <c r="N1418">
        <v>0</v>
      </c>
      <c r="O1418" t="s">
        <v>58</v>
      </c>
      <c r="P1418" t="s">
        <v>1527</v>
      </c>
      <c r="Q1418" t="s">
        <v>1432</v>
      </c>
      <c r="R1418" t="s">
        <v>2784</v>
      </c>
      <c r="S1418" s="1">
        <v>44396</v>
      </c>
      <c r="T1418" s="1">
        <v>44398</v>
      </c>
      <c r="U1418">
        <v>37501</v>
      </c>
      <c r="V1418" t="s">
        <v>61</v>
      </c>
      <c r="W1418" t="s">
        <v>2785</v>
      </c>
      <c r="X1418" s="1">
        <v>44400</v>
      </c>
      <c r="Y1418" t="s">
        <v>63</v>
      </c>
      <c r="Z1418">
        <v>340.52</v>
      </c>
      <c r="AA1418">
        <v>16</v>
      </c>
      <c r="AB1418">
        <v>54.48</v>
      </c>
      <c r="AC1418">
        <v>39.5</v>
      </c>
      <c r="AD1418">
        <v>434.5</v>
      </c>
      <c r="AE1418">
        <v>786.5</v>
      </c>
      <c r="AF1418">
        <v>2727</v>
      </c>
      <c r="AG1418" t="s">
        <v>2786</v>
      </c>
      <c r="AH1418" t="s">
        <v>65</v>
      </c>
      <c r="AI1418" t="s">
        <v>65</v>
      </c>
      <c r="AJ1418" t="s">
        <v>66</v>
      </c>
      <c r="AK1418" t="s">
        <v>66</v>
      </c>
      <c r="AL1418" t="s">
        <v>66</v>
      </c>
      <c r="AM1418" s="2" t="str">
        <f>HYPERLINK("https://transparencia.cidesi.mx/comprobantes/2021/CN2100008 /C15C697421-FB77-4651-88BB-433D1F330804.pdf")</f>
        <v>https://transparencia.cidesi.mx/comprobantes/2021/CN2100008 /C15C697421-FB77-4651-88BB-433D1F330804.pdf</v>
      </c>
      <c r="AN1418" t="str">
        <f>HYPERLINK("https://transparencia.cidesi.mx/comprobantes/2021/CN2100008 /C15C697421-FB77-4651-88BB-433D1F330804.pdf")</f>
        <v>https://transparencia.cidesi.mx/comprobantes/2021/CN2100008 /C15C697421-FB77-4651-88BB-433D1F330804.pdf</v>
      </c>
      <c r="AO1418" t="str">
        <f>HYPERLINK("https://transparencia.cidesi.mx/comprobantes/2021/CN2100008 /C15C697421-FB77-4651-88BB-433D1F330804.xml")</f>
        <v>https://transparencia.cidesi.mx/comprobantes/2021/CN2100008 /C15C697421-FB77-4651-88BB-433D1F330804.xml</v>
      </c>
      <c r="AP1418" t="s">
        <v>2784</v>
      </c>
      <c r="AQ1418" t="s">
        <v>2787</v>
      </c>
      <c r="AR1418" t="s">
        <v>2787</v>
      </c>
      <c r="AS1418" t="s">
        <v>2787</v>
      </c>
      <c r="AT1418" s="1">
        <v>44404</v>
      </c>
      <c r="AU1418" s="1">
        <v>44405</v>
      </c>
    </row>
    <row r="1419" spans="1:47" x14ac:dyDescent="0.3">
      <c r="A1419" t="s">
        <v>246</v>
      </c>
      <c r="B1419" t="s">
        <v>48</v>
      </c>
      <c r="C1419" t="s">
        <v>338</v>
      </c>
      <c r="D1419">
        <v>100740</v>
      </c>
      <c r="E1419" t="s">
        <v>2782</v>
      </c>
      <c r="F1419" t="s">
        <v>1056</v>
      </c>
      <c r="G1419" t="s">
        <v>1154</v>
      </c>
      <c r="H1419" t="s">
        <v>2783</v>
      </c>
      <c r="I1419" t="s">
        <v>54</v>
      </c>
      <c r="J1419" t="s">
        <v>2784</v>
      </c>
      <c r="K1419" t="s">
        <v>56</v>
      </c>
      <c r="L1419">
        <v>0</v>
      </c>
      <c r="M1419" t="s">
        <v>73</v>
      </c>
      <c r="N1419">
        <v>0</v>
      </c>
      <c r="O1419" t="s">
        <v>58</v>
      </c>
      <c r="P1419" t="s">
        <v>1527</v>
      </c>
      <c r="Q1419" t="s">
        <v>1432</v>
      </c>
      <c r="R1419" t="s">
        <v>2784</v>
      </c>
      <c r="S1419" s="1">
        <v>44396</v>
      </c>
      <c r="T1419" s="1">
        <v>44398</v>
      </c>
      <c r="U1419">
        <v>37501</v>
      </c>
      <c r="V1419" t="s">
        <v>61</v>
      </c>
      <c r="W1419" t="s">
        <v>2785</v>
      </c>
      <c r="X1419" s="1">
        <v>44400</v>
      </c>
      <c r="Y1419" t="s">
        <v>63</v>
      </c>
      <c r="Z1419">
        <v>131.03</v>
      </c>
      <c r="AA1419">
        <v>16</v>
      </c>
      <c r="AB1419">
        <v>20.97</v>
      </c>
      <c r="AC1419">
        <v>14</v>
      </c>
      <c r="AD1419">
        <v>166</v>
      </c>
      <c r="AE1419">
        <v>786.5</v>
      </c>
      <c r="AF1419">
        <v>2727</v>
      </c>
      <c r="AG1419" t="s">
        <v>2786</v>
      </c>
      <c r="AH1419" t="s">
        <v>65</v>
      </c>
      <c r="AI1419" t="s">
        <v>65</v>
      </c>
      <c r="AJ1419" t="s">
        <v>66</v>
      </c>
      <c r="AK1419" t="s">
        <v>66</v>
      </c>
      <c r="AL1419" t="s">
        <v>66</v>
      </c>
      <c r="AM1419" s="2" t="str">
        <f>HYPERLINK("https://transparencia.cidesi.mx/comprobantes/2021/CN2100008 /C22248660_FA-021679.pdf")</f>
        <v>https://transparencia.cidesi.mx/comprobantes/2021/CN2100008 /C22248660_FA-021679.pdf</v>
      </c>
      <c r="AN1419" t="str">
        <f>HYPERLINK("https://transparencia.cidesi.mx/comprobantes/2021/CN2100008 /C22248660_FA-021679.pdf")</f>
        <v>https://transparencia.cidesi.mx/comprobantes/2021/CN2100008 /C22248660_FA-021679.pdf</v>
      </c>
      <c r="AO1419" t="str">
        <f>HYPERLINK("https://transparencia.cidesi.mx/comprobantes/2021/CN2100008 /C22248660_FA-021679.xml")</f>
        <v>https://transparencia.cidesi.mx/comprobantes/2021/CN2100008 /C22248660_FA-021679.xml</v>
      </c>
      <c r="AP1419" t="s">
        <v>2784</v>
      </c>
      <c r="AQ1419" t="s">
        <v>2787</v>
      </c>
      <c r="AR1419" t="s">
        <v>2787</v>
      </c>
      <c r="AS1419" t="s">
        <v>2787</v>
      </c>
      <c r="AT1419" s="1">
        <v>44404</v>
      </c>
      <c r="AU1419" s="1">
        <v>44405</v>
      </c>
    </row>
    <row r="1420" spans="1:47" x14ac:dyDescent="0.3">
      <c r="A1420" t="s">
        <v>246</v>
      </c>
      <c r="B1420" t="s">
        <v>48</v>
      </c>
      <c r="C1420" t="s">
        <v>338</v>
      </c>
      <c r="D1420">
        <v>100740</v>
      </c>
      <c r="E1420" t="s">
        <v>2782</v>
      </c>
      <c r="F1420" t="s">
        <v>1056</v>
      </c>
      <c r="G1420" t="s">
        <v>1154</v>
      </c>
      <c r="H1420" t="s">
        <v>2783</v>
      </c>
      <c r="I1420" t="s">
        <v>54</v>
      </c>
      <c r="J1420" t="s">
        <v>2784</v>
      </c>
      <c r="K1420" t="s">
        <v>56</v>
      </c>
      <c r="L1420">
        <v>0</v>
      </c>
      <c r="M1420" t="s">
        <v>73</v>
      </c>
      <c r="N1420">
        <v>0</v>
      </c>
      <c r="O1420" t="s">
        <v>58</v>
      </c>
      <c r="P1420" t="s">
        <v>1527</v>
      </c>
      <c r="Q1420" t="s">
        <v>1432</v>
      </c>
      <c r="R1420" t="s">
        <v>2784</v>
      </c>
      <c r="S1420" s="1">
        <v>44396</v>
      </c>
      <c r="T1420" s="1">
        <v>44398</v>
      </c>
      <c r="U1420">
        <v>37501</v>
      </c>
      <c r="V1420" t="s">
        <v>61</v>
      </c>
      <c r="W1420" t="s">
        <v>2785</v>
      </c>
      <c r="X1420" s="1">
        <v>44400</v>
      </c>
      <c r="Y1420" t="s">
        <v>63</v>
      </c>
      <c r="Z1420">
        <v>160.34</v>
      </c>
      <c r="AA1420">
        <v>16</v>
      </c>
      <c r="AB1420">
        <v>25.66</v>
      </c>
      <c r="AC1420">
        <v>0</v>
      </c>
      <c r="AD1420">
        <v>186</v>
      </c>
      <c r="AE1420">
        <v>786.5</v>
      </c>
      <c r="AF1420">
        <v>2727</v>
      </c>
      <c r="AG1420" t="s">
        <v>2786</v>
      </c>
      <c r="AH1420" t="s">
        <v>65</v>
      </c>
      <c r="AI1420" t="s">
        <v>65</v>
      </c>
      <c r="AJ1420" t="s">
        <v>66</v>
      </c>
      <c r="AK1420" t="s">
        <v>66</v>
      </c>
      <c r="AL1420" t="s">
        <v>66</v>
      </c>
      <c r="AM1420" s="2" t="str">
        <f>HYPERLINK("https://transparencia.cidesi.mx/comprobantes/2021/CN2100008 /C3697D7577-570D-42DE-9F6D-0665F5E82694.pdf")</f>
        <v>https://transparencia.cidesi.mx/comprobantes/2021/CN2100008 /C3697D7577-570D-42DE-9F6D-0665F5E82694.pdf</v>
      </c>
      <c r="AN1420" t="str">
        <f>HYPERLINK("https://transparencia.cidesi.mx/comprobantes/2021/CN2100008 /C3697D7577-570D-42DE-9F6D-0665F5E82694.pdf")</f>
        <v>https://transparencia.cidesi.mx/comprobantes/2021/CN2100008 /C3697D7577-570D-42DE-9F6D-0665F5E82694.pdf</v>
      </c>
      <c r="AO1420" t="str">
        <f>HYPERLINK("https://transparencia.cidesi.mx/comprobantes/2021/CN2100008 /C3697D7577-570D-42DE-9F6D-0665F5E82694.xml")</f>
        <v>https://transparencia.cidesi.mx/comprobantes/2021/CN2100008 /C3697D7577-570D-42DE-9F6D-0665F5E82694.xml</v>
      </c>
      <c r="AP1420" t="s">
        <v>2784</v>
      </c>
      <c r="AQ1420" t="s">
        <v>2787</v>
      </c>
      <c r="AR1420" t="s">
        <v>2787</v>
      </c>
      <c r="AS1420" t="s">
        <v>2787</v>
      </c>
      <c r="AT1420" s="1">
        <v>44404</v>
      </c>
      <c r="AU1420" s="1">
        <v>44405</v>
      </c>
    </row>
    <row r="1421" spans="1:47" x14ac:dyDescent="0.3">
      <c r="A1421" t="s">
        <v>246</v>
      </c>
      <c r="B1421" t="s">
        <v>48</v>
      </c>
      <c r="C1421" t="s">
        <v>338</v>
      </c>
      <c r="D1421">
        <v>100740</v>
      </c>
      <c r="E1421" t="s">
        <v>2782</v>
      </c>
      <c r="F1421" t="s">
        <v>1056</v>
      </c>
      <c r="G1421" t="s">
        <v>1154</v>
      </c>
      <c r="H1421" t="s">
        <v>2788</v>
      </c>
      <c r="I1421" t="s">
        <v>54</v>
      </c>
      <c r="J1421" t="s">
        <v>2789</v>
      </c>
      <c r="K1421" t="s">
        <v>56</v>
      </c>
      <c r="L1421">
        <v>0</v>
      </c>
      <c r="M1421" t="s">
        <v>73</v>
      </c>
      <c r="N1421">
        <v>0</v>
      </c>
      <c r="O1421" t="s">
        <v>58</v>
      </c>
      <c r="P1421" t="s">
        <v>1527</v>
      </c>
      <c r="Q1421" t="s">
        <v>108</v>
      </c>
      <c r="R1421" t="s">
        <v>2789</v>
      </c>
      <c r="S1421" s="1">
        <v>44459</v>
      </c>
      <c r="T1421" s="1">
        <v>44459</v>
      </c>
      <c r="U1421">
        <v>37501</v>
      </c>
      <c r="V1421" t="s">
        <v>61</v>
      </c>
      <c r="W1421" t="s">
        <v>2790</v>
      </c>
      <c r="X1421" s="1">
        <v>44460</v>
      </c>
      <c r="Y1421" t="s">
        <v>63</v>
      </c>
      <c r="Z1421">
        <v>48.17</v>
      </c>
      <c r="AA1421">
        <v>16</v>
      </c>
      <c r="AB1421">
        <v>4.83</v>
      </c>
      <c r="AC1421">
        <v>0</v>
      </c>
      <c r="AD1421">
        <v>53</v>
      </c>
      <c r="AE1421">
        <v>536</v>
      </c>
      <c r="AF1421">
        <v>545</v>
      </c>
      <c r="AG1421" t="s">
        <v>2786</v>
      </c>
      <c r="AH1421" t="s">
        <v>65</v>
      </c>
      <c r="AI1421" t="s">
        <v>65</v>
      </c>
      <c r="AJ1421" t="s">
        <v>66</v>
      </c>
      <c r="AK1421" t="s">
        <v>66</v>
      </c>
      <c r="AL1421" t="s">
        <v>66</v>
      </c>
      <c r="AM1421" s="2" t="str">
        <f>HYPERLINK("https://transparencia.cidesi.mx/comprobantes/2021/CN2100009 /C1FACTURA_1632237745804_345356571.pdf")</f>
        <v>https://transparencia.cidesi.mx/comprobantes/2021/CN2100009 /C1FACTURA_1632237745804_345356571.pdf</v>
      </c>
      <c r="AN1421" t="str">
        <f>HYPERLINK("https://transparencia.cidesi.mx/comprobantes/2021/CN2100009 /C1FACTURA_1632237745804_345356571.pdf")</f>
        <v>https://transparencia.cidesi.mx/comprobantes/2021/CN2100009 /C1FACTURA_1632237745804_345356571.pdf</v>
      </c>
      <c r="AO1421" t="str">
        <f>HYPERLINK("https://transparencia.cidesi.mx/comprobantes/2021/CN2100009 /C1FACTURA_1632237746994_345356571.xml")</f>
        <v>https://transparencia.cidesi.mx/comprobantes/2021/CN2100009 /C1FACTURA_1632237746994_345356571.xml</v>
      </c>
      <c r="AP1421" t="s">
        <v>2791</v>
      </c>
      <c r="AQ1421" t="s">
        <v>2791</v>
      </c>
      <c r="AR1421" t="s">
        <v>2791</v>
      </c>
      <c r="AS1421" t="s">
        <v>2791</v>
      </c>
      <c r="AT1421" s="1">
        <v>44463</v>
      </c>
      <c r="AU1421" s="1">
        <v>44468</v>
      </c>
    </row>
    <row r="1422" spans="1:47" x14ac:dyDescent="0.3">
      <c r="A1422" t="s">
        <v>246</v>
      </c>
      <c r="B1422" t="s">
        <v>48</v>
      </c>
      <c r="C1422" t="s">
        <v>338</v>
      </c>
      <c r="D1422">
        <v>100740</v>
      </c>
      <c r="E1422" t="s">
        <v>2782</v>
      </c>
      <c r="F1422" t="s">
        <v>1056</v>
      </c>
      <c r="G1422" t="s">
        <v>1154</v>
      </c>
      <c r="H1422" t="s">
        <v>2788</v>
      </c>
      <c r="I1422" t="s">
        <v>54</v>
      </c>
      <c r="J1422" t="s">
        <v>2789</v>
      </c>
      <c r="K1422" t="s">
        <v>56</v>
      </c>
      <c r="L1422">
        <v>0</v>
      </c>
      <c r="M1422" t="s">
        <v>73</v>
      </c>
      <c r="N1422">
        <v>0</v>
      </c>
      <c r="O1422" t="s">
        <v>58</v>
      </c>
      <c r="P1422" t="s">
        <v>1527</v>
      </c>
      <c r="Q1422" t="s">
        <v>108</v>
      </c>
      <c r="R1422" t="s">
        <v>2789</v>
      </c>
      <c r="S1422" s="1">
        <v>44459</v>
      </c>
      <c r="T1422" s="1">
        <v>44459</v>
      </c>
      <c r="U1422">
        <v>37501</v>
      </c>
      <c r="V1422" t="s">
        <v>61</v>
      </c>
      <c r="W1422" t="s">
        <v>2790</v>
      </c>
      <c r="X1422" s="1">
        <v>44460</v>
      </c>
      <c r="Y1422" t="s">
        <v>63</v>
      </c>
      <c r="Z1422">
        <v>378.45</v>
      </c>
      <c r="AA1422">
        <v>16</v>
      </c>
      <c r="AB1422">
        <v>60.55</v>
      </c>
      <c r="AC1422">
        <v>44</v>
      </c>
      <c r="AD1422">
        <v>483</v>
      </c>
      <c r="AE1422">
        <v>536</v>
      </c>
      <c r="AF1422">
        <v>545</v>
      </c>
      <c r="AG1422" t="s">
        <v>2786</v>
      </c>
      <c r="AH1422" t="s">
        <v>65</v>
      </c>
      <c r="AI1422" t="s">
        <v>65</v>
      </c>
      <c r="AJ1422" t="s">
        <v>66</v>
      </c>
      <c r="AK1422" t="s">
        <v>66</v>
      </c>
      <c r="AL1422" t="s">
        <v>66</v>
      </c>
      <c r="AM1422" s="2" t="str">
        <f>HYPERLINK("https://transparencia.cidesi.mx/comprobantes/2021/CN2100009 /C2GEX0108298K9FB0000091524.pdf")</f>
        <v>https://transparencia.cidesi.mx/comprobantes/2021/CN2100009 /C2GEX0108298K9FB0000091524.pdf</v>
      </c>
      <c r="AN1422" t="str">
        <f>HYPERLINK("https://transparencia.cidesi.mx/comprobantes/2021/CN2100009 /C2GEX0108298K9FB0000091524.pdf")</f>
        <v>https://transparencia.cidesi.mx/comprobantes/2021/CN2100009 /C2GEX0108298K9FB0000091524.pdf</v>
      </c>
      <c r="AO1422" t="str">
        <f>HYPERLINK("https://transparencia.cidesi.mx/comprobantes/2021/CN2100009 /C2GEX0108298K9FB0000091524.xml")</f>
        <v>https://transparencia.cidesi.mx/comprobantes/2021/CN2100009 /C2GEX0108298K9FB0000091524.xml</v>
      </c>
      <c r="AP1422" t="s">
        <v>2791</v>
      </c>
      <c r="AQ1422" t="s">
        <v>2791</v>
      </c>
      <c r="AR1422" t="s">
        <v>2791</v>
      </c>
      <c r="AS1422" t="s">
        <v>2791</v>
      </c>
      <c r="AT1422" s="1">
        <v>44463</v>
      </c>
      <c r="AU1422" s="1">
        <v>44468</v>
      </c>
    </row>
    <row r="1423" spans="1:47" x14ac:dyDescent="0.3">
      <c r="A1423" t="s">
        <v>2792</v>
      </c>
      <c r="B1423" t="s">
        <v>80</v>
      </c>
      <c r="C1423" t="s">
        <v>2793</v>
      </c>
      <c r="D1423">
        <v>100823</v>
      </c>
      <c r="E1423" t="s">
        <v>2794</v>
      </c>
      <c r="F1423" t="s">
        <v>692</v>
      </c>
      <c r="G1423" t="s">
        <v>444</v>
      </c>
      <c r="H1423" t="s">
        <v>2795</v>
      </c>
      <c r="I1423" t="s">
        <v>54</v>
      </c>
      <c r="J1423" t="s">
        <v>2796</v>
      </c>
      <c r="K1423" t="s">
        <v>56</v>
      </c>
      <c r="L1423">
        <v>0</v>
      </c>
      <c r="M1423" t="s">
        <v>73</v>
      </c>
      <c r="N1423">
        <v>0</v>
      </c>
      <c r="O1423" t="s">
        <v>58</v>
      </c>
      <c r="P1423" t="s">
        <v>2064</v>
      </c>
      <c r="Q1423" t="s">
        <v>1432</v>
      </c>
      <c r="R1423" t="s">
        <v>2796</v>
      </c>
      <c r="S1423" s="1">
        <v>44404</v>
      </c>
      <c r="T1423" s="1">
        <v>44404</v>
      </c>
      <c r="U1423">
        <v>37501</v>
      </c>
      <c r="V1423" t="s">
        <v>61</v>
      </c>
      <c r="W1423" t="s">
        <v>2797</v>
      </c>
      <c r="X1423" s="1">
        <v>44405</v>
      </c>
      <c r="Y1423" t="s">
        <v>100</v>
      </c>
      <c r="Z1423">
        <v>50</v>
      </c>
      <c r="AA1423">
        <v>16</v>
      </c>
      <c r="AB1423">
        <v>8</v>
      </c>
      <c r="AC1423">
        <v>0</v>
      </c>
      <c r="AD1423">
        <v>58</v>
      </c>
      <c r="AE1423">
        <v>213</v>
      </c>
      <c r="AF1423">
        <v>783</v>
      </c>
      <c r="AG1423" t="s">
        <v>2798</v>
      </c>
      <c r="AH1423" t="s">
        <v>65</v>
      </c>
      <c r="AI1423" t="s">
        <v>65</v>
      </c>
      <c r="AJ1423" t="s">
        <v>66</v>
      </c>
      <c r="AK1423" t="s">
        <v>66</v>
      </c>
      <c r="AL1423" t="s">
        <v>66</v>
      </c>
      <c r="AM1423" s="2" t="str">
        <f>HYPERLINK("https://transparencia.cidesi.mx/comprobantes/2021/CE2100009 /C123877_VEJH880925S57.PDF.pdf")</f>
        <v>https://transparencia.cidesi.mx/comprobantes/2021/CE2100009 /C123877_VEJH880925S57.PDF.pdf</v>
      </c>
      <c r="AN1423" t="str">
        <f>HYPERLINK("https://transparencia.cidesi.mx/comprobantes/2021/CE2100009 /C123877_VEJH880925S57.PDF.pdf")</f>
        <v>https://transparencia.cidesi.mx/comprobantes/2021/CE2100009 /C123877_VEJH880925S57.PDF.pdf</v>
      </c>
      <c r="AO1423" t="str">
        <f>HYPERLINK("https://transparencia.cidesi.mx/comprobantes/2021/CE2100009 /C123877_VEJH880925S57.XML.xml")</f>
        <v>https://transparencia.cidesi.mx/comprobantes/2021/CE2100009 /C123877_VEJH880925S57.XML.xml</v>
      </c>
      <c r="AP1423" t="s">
        <v>2799</v>
      </c>
      <c r="AQ1423" t="s">
        <v>2800</v>
      </c>
      <c r="AR1423" t="s">
        <v>2801</v>
      </c>
      <c r="AS1423" t="s">
        <v>2802</v>
      </c>
      <c r="AT1423" s="1">
        <v>44407</v>
      </c>
      <c r="AU1423" t="s">
        <v>73</v>
      </c>
    </row>
    <row r="1424" spans="1:47" x14ac:dyDescent="0.3">
      <c r="A1424" t="s">
        <v>2792</v>
      </c>
      <c r="B1424" t="s">
        <v>80</v>
      </c>
      <c r="C1424" t="s">
        <v>2793</v>
      </c>
      <c r="D1424">
        <v>100823</v>
      </c>
      <c r="E1424" t="s">
        <v>2794</v>
      </c>
      <c r="F1424" t="s">
        <v>692</v>
      </c>
      <c r="G1424" t="s">
        <v>444</v>
      </c>
      <c r="H1424" t="s">
        <v>2795</v>
      </c>
      <c r="I1424" t="s">
        <v>54</v>
      </c>
      <c r="J1424" t="s">
        <v>2796</v>
      </c>
      <c r="K1424" t="s">
        <v>56</v>
      </c>
      <c r="L1424">
        <v>0</v>
      </c>
      <c r="M1424" t="s">
        <v>73</v>
      </c>
      <c r="N1424">
        <v>0</v>
      </c>
      <c r="O1424" t="s">
        <v>58</v>
      </c>
      <c r="P1424" t="s">
        <v>2064</v>
      </c>
      <c r="Q1424" t="s">
        <v>1432</v>
      </c>
      <c r="R1424" t="s">
        <v>2796</v>
      </c>
      <c r="S1424" s="1">
        <v>44404</v>
      </c>
      <c r="T1424" s="1">
        <v>44404</v>
      </c>
      <c r="U1424">
        <v>37501</v>
      </c>
      <c r="V1424" t="s">
        <v>61</v>
      </c>
      <c r="W1424" t="s">
        <v>2797</v>
      </c>
      <c r="X1424" s="1">
        <v>44405</v>
      </c>
      <c r="Y1424" t="s">
        <v>100</v>
      </c>
      <c r="Z1424">
        <v>133.62</v>
      </c>
      <c r="AA1424">
        <v>16</v>
      </c>
      <c r="AB1424">
        <v>21.38</v>
      </c>
      <c r="AC1424">
        <v>0</v>
      </c>
      <c r="AD1424">
        <v>155</v>
      </c>
      <c r="AE1424">
        <v>213</v>
      </c>
      <c r="AF1424">
        <v>783</v>
      </c>
      <c r="AG1424" t="s">
        <v>2798</v>
      </c>
      <c r="AH1424" t="s">
        <v>65</v>
      </c>
      <c r="AI1424" t="s">
        <v>65</v>
      </c>
      <c r="AJ1424" t="s">
        <v>66</v>
      </c>
      <c r="AK1424" t="s">
        <v>66</v>
      </c>
      <c r="AL1424" t="s">
        <v>66</v>
      </c>
      <c r="AM1424" s="2" t="str">
        <f>HYPERLINK("https://transparencia.cidesi.mx/comprobantes/2021/CE2100009 /C233838_RKU1412116U0.PDF.pdf")</f>
        <v>https://transparencia.cidesi.mx/comprobantes/2021/CE2100009 /C233838_RKU1412116U0.PDF.pdf</v>
      </c>
      <c r="AN1424" t="str">
        <f>HYPERLINK("https://transparencia.cidesi.mx/comprobantes/2021/CE2100009 /C233838_RKU1412116U0.PDF.pdf")</f>
        <v>https://transparencia.cidesi.mx/comprobantes/2021/CE2100009 /C233838_RKU1412116U0.PDF.pdf</v>
      </c>
      <c r="AO1424" t="str">
        <f>HYPERLINK("https://transparencia.cidesi.mx/comprobantes/2021/CE2100009 /C233838_RKU1412116U0.XML.xml")</f>
        <v>https://transparencia.cidesi.mx/comprobantes/2021/CE2100009 /C233838_RKU1412116U0.XML.xml</v>
      </c>
      <c r="AP1424" t="s">
        <v>2799</v>
      </c>
      <c r="AQ1424" t="s">
        <v>2800</v>
      </c>
      <c r="AR1424" t="s">
        <v>2801</v>
      </c>
      <c r="AS1424" t="s">
        <v>2802</v>
      </c>
      <c r="AT1424" s="1">
        <v>44407</v>
      </c>
      <c r="AU1424" t="s">
        <v>73</v>
      </c>
    </row>
    <row r="1425" spans="1:47" x14ac:dyDescent="0.3">
      <c r="A1425" t="s">
        <v>2803</v>
      </c>
      <c r="B1425" t="s">
        <v>224</v>
      </c>
      <c r="C1425" t="s">
        <v>224</v>
      </c>
      <c r="D1425">
        <v>100830</v>
      </c>
      <c r="E1425" t="s">
        <v>2440</v>
      </c>
      <c r="F1425" t="s">
        <v>2804</v>
      </c>
      <c r="G1425" t="s">
        <v>2805</v>
      </c>
      <c r="H1425" t="s">
        <v>2806</v>
      </c>
      <c r="I1425" t="s">
        <v>54</v>
      </c>
      <c r="J1425" t="s">
        <v>2807</v>
      </c>
      <c r="K1425" t="s">
        <v>56</v>
      </c>
      <c r="L1425">
        <v>0</v>
      </c>
      <c r="M1425" t="s">
        <v>73</v>
      </c>
      <c r="N1425">
        <v>0</v>
      </c>
      <c r="O1425" t="s">
        <v>58</v>
      </c>
      <c r="P1425" t="s">
        <v>59</v>
      </c>
      <c r="Q1425" t="s">
        <v>189</v>
      </c>
      <c r="R1425" t="s">
        <v>2807</v>
      </c>
      <c r="S1425" s="1">
        <v>44433</v>
      </c>
      <c r="T1425" s="1">
        <v>44433</v>
      </c>
      <c r="U1425">
        <v>37104</v>
      </c>
      <c r="V1425" t="s">
        <v>471</v>
      </c>
      <c r="W1425" t="s">
        <v>2808</v>
      </c>
      <c r="X1425" s="1">
        <v>44421</v>
      </c>
      <c r="Y1425" t="s">
        <v>63</v>
      </c>
      <c r="Z1425">
        <v>3918.86</v>
      </c>
      <c r="AA1425">
        <v>16</v>
      </c>
      <c r="AB1425">
        <v>448.14</v>
      </c>
      <c r="AC1425">
        <v>0</v>
      </c>
      <c r="AD1425">
        <v>4367</v>
      </c>
      <c r="AE1425">
        <v>4367</v>
      </c>
      <c r="AF1425">
        <v>4500</v>
      </c>
      <c r="AG1425" t="s">
        <v>2809</v>
      </c>
      <c r="AH1425" t="s">
        <v>66</v>
      </c>
      <c r="AI1425" t="s">
        <v>65</v>
      </c>
      <c r="AJ1425" t="s">
        <v>66</v>
      </c>
      <c r="AK1425" t="s">
        <v>66</v>
      </c>
      <c r="AL1425" t="s">
        <v>66</v>
      </c>
      <c r="AM1425" s="2" t="str">
        <f>HYPERLINK("https://transparencia.cidesi.mx/comprobantes/2021/CAQ210024 /C1CID840309UG7-BCAFC3D1-8323-4D15-B6A3-812E043908B2.pdf")</f>
        <v>https://transparencia.cidesi.mx/comprobantes/2021/CAQ210024 /C1CID840309UG7-BCAFC3D1-8323-4D15-B6A3-812E043908B2.pdf</v>
      </c>
      <c r="AN1425" t="str">
        <f>HYPERLINK("https://transparencia.cidesi.mx/comprobantes/2021/CAQ210024 /C1CID840309UG7-BCAFC3D1-8323-4D15-B6A3-812E043908B2.pdf")</f>
        <v>https://transparencia.cidesi.mx/comprobantes/2021/CAQ210024 /C1CID840309UG7-BCAFC3D1-8323-4D15-B6A3-812E043908B2.pdf</v>
      </c>
      <c r="AO1425" t="str">
        <f>HYPERLINK("https://transparencia.cidesi.mx/comprobantes/2021/CAQ210024 /C1CID840309UG7-BCAFC3D1-8323-4D15-B6A3-812E043908B2.xml")</f>
        <v>https://transparencia.cidesi.mx/comprobantes/2021/CAQ210024 /C1CID840309UG7-BCAFC3D1-8323-4D15-B6A3-812E043908B2.xml</v>
      </c>
      <c r="AP1425" t="s">
        <v>2807</v>
      </c>
      <c r="AQ1425" t="s">
        <v>2810</v>
      </c>
      <c r="AR1425" t="s">
        <v>2811</v>
      </c>
      <c r="AS1425" t="s">
        <v>2812</v>
      </c>
      <c r="AT1425" s="1">
        <v>44425</v>
      </c>
      <c r="AU1425" s="1">
        <v>44425</v>
      </c>
    </row>
    <row r="1426" spans="1:47" x14ac:dyDescent="0.3">
      <c r="A1426" t="s">
        <v>2803</v>
      </c>
      <c r="B1426" t="s">
        <v>224</v>
      </c>
      <c r="C1426" t="s">
        <v>224</v>
      </c>
      <c r="D1426">
        <v>100830</v>
      </c>
      <c r="E1426" t="s">
        <v>2440</v>
      </c>
      <c r="F1426" t="s">
        <v>2804</v>
      </c>
      <c r="G1426" t="s">
        <v>2805</v>
      </c>
      <c r="H1426" t="s">
        <v>2813</v>
      </c>
      <c r="I1426" t="s">
        <v>54</v>
      </c>
      <c r="J1426" t="s">
        <v>2807</v>
      </c>
      <c r="K1426" t="s">
        <v>56</v>
      </c>
      <c r="L1426">
        <v>0</v>
      </c>
      <c r="M1426" t="s">
        <v>73</v>
      </c>
      <c r="N1426">
        <v>0</v>
      </c>
      <c r="O1426" t="s">
        <v>58</v>
      </c>
      <c r="P1426" t="s">
        <v>59</v>
      </c>
      <c r="Q1426" t="s">
        <v>98</v>
      </c>
      <c r="R1426" t="s">
        <v>2807</v>
      </c>
      <c r="S1426" s="1">
        <v>44433</v>
      </c>
      <c r="T1426" s="1">
        <v>44435</v>
      </c>
      <c r="U1426">
        <v>37501</v>
      </c>
      <c r="V1426" t="s">
        <v>61</v>
      </c>
      <c r="W1426" t="s">
        <v>2814</v>
      </c>
      <c r="X1426" s="1">
        <v>44438</v>
      </c>
      <c r="Y1426" t="s">
        <v>63</v>
      </c>
      <c r="Z1426">
        <v>326.72000000000003</v>
      </c>
      <c r="AA1426">
        <v>16</v>
      </c>
      <c r="AB1426">
        <v>52.28</v>
      </c>
      <c r="AC1426">
        <v>0</v>
      </c>
      <c r="AD1426">
        <v>379</v>
      </c>
      <c r="AE1426">
        <v>3547.51</v>
      </c>
      <c r="AF1426">
        <v>5172</v>
      </c>
      <c r="AG1426" t="s">
        <v>2815</v>
      </c>
      <c r="AH1426" t="s">
        <v>65</v>
      </c>
      <c r="AI1426" t="s">
        <v>65</v>
      </c>
      <c r="AJ1426" t="s">
        <v>66</v>
      </c>
      <c r="AK1426" t="s">
        <v>66</v>
      </c>
      <c r="AL1426" t="s">
        <v>66</v>
      </c>
      <c r="AM1426" s="2" t="str">
        <f>HYPERLINK("https://transparencia.cidesi.mx/comprobantes/2021/CQ2100711 /C2DocPDF_FS_45963_CID840309UG7_904.pdf")</f>
        <v>https://transparencia.cidesi.mx/comprobantes/2021/CQ2100711 /C2DocPDF_FS_45963_CID840309UG7_904.pdf</v>
      </c>
      <c r="AN1426" t="str">
        <f>HYPERLINK("https://transparencia.cidesi.mx/comprobantes/2021/CQ2100711 /C2DocPDF_FS_45963_CID840309UG7_904.pdf")</f>
        <v>https://transparencia.cidesi.mx/comprobantes/2021/CQ2100711 /C2DocPDF_FS_45963_CID840309UG7_904.pdf</v>
      </c>
      <c r="AO1426" t="str">
        <f>HYPERLINK("https://transparencia.cidesi.mx/comprobantes/2021/CQ2100711 /C2DocXML_FS_45963_CID840309UG7_904.xml")</f>
        <v>https://transparencia.cidesi.mx/comprobantes/2021/CQ2100711 /C2DocXML_FS_45963_CID840309UG7_904.xml</v>
      </c>
      <c r="AP1426" t="s">
        <v>2807</v>
      </c>
      <c r="AQ1426" t="s">
        <v>2816</v>
      </c>
      <c r="AR1426" t="s">
        <v>2817</v>
      </c>
      <c r="AS1426" t="s">
        <v>2818</v>
      </c>
      <c r="AT1426" s="1">
        <v>44441</v>
      </c>
      <c r="AU1426" s="1">
        <v>44442</v>
      </c>
    </row>
    <row r="1427" spans="1:47" x14ac:dyDescent="0.3">
      <c r="A1427" t="s">
        <v>2803</v>
      </c>
      <c r="B1427" t="s">
        <v>224</v>
      </c>
      <c r="C1427" t="s">
        <v>224</v>
      </c>
      <c r="D1427">
        <v>100830</v>
      </c>
      <c r="E1427" t="s">
        <v>2440</v>
      </c>
      <c r="F1427" t="s">
        <v>2804</v>
      </c>
      <c r="G1427" t="s">
        <v>2805</v>
      </c>
      <c r="H1427" t="s">
        <v>2813</v>
      </c>
      <c r="I1427" t="s">
        <v>54</v>
      </c>
      <c r="J1427" t="s">
        <v>2807</v>
      </c>
      <c r="K1427" t="s">
        <v>56</v>
      </c>
      <c r="L1427">
        <v>0</v>
      </c>
      <c r="M1427" t="s">
        <v>73</v>
      </c>
      <c r="N1427">
        <v>0</v>
      </c>
      <c r="O1427" t="s">
        <v>58</v>
      </c>
      <c r="P1427" t="s">
        <v>59</v>
      </c>
      <c r="Q1427" t="s">
        <v>98</v>
      </c>
      <c r="R1427" t="s">
        <v>2807</v>
      </c>
      <c r="S1427" s="1">
        <v>44433</v>
      </c>
      <c r="T1427" s="1">
        <v>44435</v>
      </c>
      <c r="U1427">
        <v>37501</v>
      </c>
      <c r="V1427" t="s">
        <v>61</v>
      </c>
      <c r="W1427" t="s">
        <v>2814</v>
      </c>
      <c r="X1427" s="1">
        <v>44438</v>
      </c>
      <c r="Y1427" t="s">
        <v>63</v>
      </c>
      <c r="Z1427">
        <v>487.93</v>
      </c>
      <c r="AA1427">
        <v>16</v>
      </c>
      <c r="AB1427">
        <v>78.069999999999993</v>
      </c>
      <c r="AC1427">
        <v>0</v>
      </c>
      <c r="AD1427">
        <v>566</v>
      </c>
      <c r="AE1427">
        <v>3547.51</v>
      </c>
      <c r="AF1427">
        <v>5172</v>
      </c>
      <c r="AG1427" t="s">
        <v>2815</v>
      </c>
      <c r="AH1427" t="s">
        <v>65</v>
      </c>
      <c r="AI1427" t="s">
        <v>65</v>
      </c>
      <c r="AJ1427" t="s">
        <v>66</v>
      </c>
      <c r="AK1427" t="s">
        <v>66</v>
      </c>
      <c r="AL1427" t="s">
        <v>66</v>
      </c>
      <c r="AM1427" s="2" t="str">
        <f>HYPERLINK("https://transparencia.cidesi.mx/comprobantes/2021/CQ2100711 /C3JU11645_844B622C-81AF-424D-AA3E-376769BC33BA.pdf")</f>
        <v>https://transparencia.cidesi.mx/comprobantes/2021/CQ2100711 /C3JU11645_844B622C-81AF-424D-AA3E-376769BC33BA.pdf</v>
      </c>
      <c r="AN1427" t="str">
        <f>HYPERLINK("https://transparencia.cidesi.mx/comprobantes/2021/CQ2100711 /C3JU11645_844B622C-81AF-424D-AA3E-376769BC33BA.pdf")</f>
        <v>https://transparencia.cidesi.mx/comprobantes/2021/CQ2100711 /C3JU11645_844B622C-81AF-424D-AA3E-376769BC33BA.pdf</v>
      </c>
      <c r="AO1427" t="str">
        <f>HYPERLINK("https://transparencia.cidesi.mx/comprobantes/2021/CQ2100711 /C3JU11645_844B622C-81AF-424D-AA3E-376769BC33BA.xml")</f>
        <v>https://transparencia.cidesi.mx/comprobantes/2021/CQ2100711 /C3JU11645_844B622C-81AF-424D-AA3E-376769BC33BA.xml</v>
      </c>
      <c r="AP1427" t="s">
        <v>2807</v>
      </c>
      <c r="AQ1427" t="s">
        <v>2816</v>
      </c>
      <c r="AR1427" t="s">
        <v>2817</v>
      </c>
      <c r="AS1427" t="s">
        <v>2818</v>
      </c>
      <c r="AT1427" s="1">
        <v>44441</v>
      </c>
      <c r="AU1427" s="1">
        <v>44442</v>
      </c>
    </row>
    <row r="1428" spans="1:47" x14ac:dyDescent="0.3">
      <c r="A1428" t="s">
        <v>2803</v>
      </c>
      <c r="B1428" t="s">
        <v>224</v>
      </c>
      <c r="C1428" t="s">
        <v>224</v>
      </c>
      <c r="D1428">
        <v>100830</v>
      </c>
      <c r="E1428" t="s">
        <v>2440</v>
      </c>
      <c r="F1428" t="s">
        <v>2804</v>
      </c>
      <c r="G1428" t="s">
        <v>2805</v>
      </c>
      <c r="H1428" t="s">
        <v>2813</v>
      </c>
      <c r="I1428" t="s">
        <v>54</v>
      </c>
      <c r="J1428" t="s">
        <v>2807</v>
      </c>
      <c r="K1428" t="s">
        <v>56</v>
      </c>
      <c r="L1428">
        <v>0</v>
      </c>
      <c r="M1428" t="s">
        <v>73</v>
      </c>
      <c r="N1428">
        <v>0</v>
      </c>
      <c r="O1428" t="s">
        <v>58</v>
      </c>
      <c r="P1428" t="s">
        <v>59</v>
      </c>
      <c r="Q1428" t="s">
        <v>98</v>
      </c>
      <c r="R1428" t="s">
        <v>2807</v>
      </c>
      <c r="S1428" s="1">
        <v>44433</v>
      </c>
      <c r="T1428" s="1">
        <v>44435</v>
      </c>
      <c r="U1428">
        <v>37501</v>
      </c>
      <c r="V1428" t="s">
        <v>61</v>
      </c>
      <c r="W1428" t="s">
        <v>2814</v>
      </c>
      <c r="X1428" s="1">
        <v>44438</v>
      </c>
      <c r="Y1428" t="s">
        <v>63</v>
      </c>
      <c r="Z1428">
        <v>133.41</v>
      </c>
      <c r="AA1428">
        <v>16</v>
      </c>
      <c r="AB1428">
        <v>11.59</v>
      </c>
      <c r="AC1428">
        <v>0</v>
      </c>
      <c r="AD1428">
        <v>145</v>
      </c>
      <c r="AE1428">
        <v>3547.51</v>
      </c>
      <c r="AF1428">
        <v>5172</v>
      </c>
      <c r="AG1428" t="s">
        <v>2815</v>
      </c>
      <c r="AH1428" t="s">
        <v>65</v>
      </c>
      <c r="AI1428" t="s">
        <v>65</v>
      </c>
      <c r="AJ1428" t="s">
        <v>66</v>
      </c>
      <c r="AK1428" t="s">
        <v>66</v>
      </c>
      <c r="AL1428" t="s">
        <v>66</v>
      </c>
      <c r="AM1428" s="2" t="str">
        <f>HYPERLINK("https://transparencia.cidesi.mx/comprobantes/2021/CQ2100711 /C469937634.pdf")</f>
        <v>https://transparencia.cidesi.mx/comprobantes/2021/CQ2100711 /C469937634.pdf</v>
      </c>
      <c r="AN1428" t="str">
        <f>HYPERLINK("https://transparencia.cidesi.mx/comprobantes/2021/CQ2100711 /C469937634.pdf")</f>
        <v>https://transparencia.cidesi.mx/comprobantes/2021/CQ2100711 /C469937634.pdf</v>
      </c>
      <c r="AO1428" t="str">
        <f>HYPERLINK("https://transparencia.cidesi.mx/comprobantes/2021/CQ2100711 /C469937634.xml")</f>
        <v>https://transparencia.cidesi.mx/comprobantes/2021/CQ2100711 /C469937634.xml</v>
      </c>
      <c r="AP1428" t="s">
        <v>2807</v>
      </c>
      <c r="AQ1428" t="s">
        <v>2816</v>
      </c>
      <c r="AR1428" t="s">
        <v>2817</v>
      </c>
      <c r="AS1428" t="s">
        <v>2818</v>
      </c>
      <c r="AT1428" s="1">
        <v>44441</v>
      </c>
      <c r="AU1428" s="1">
        <v>44442</v>
      </c>
    </row>
    <row r="1429" spans="1:47" x14ac:dyDescent="0.3">
      <c r="A1429" t="s">
        <v>2803</v>
      </c>
      <c r="B1429" t="s">
        <v>224</v>
      </c>
      <c r="C1429" t="s">
        <v>224</v>
      </c>
      <c r="D1429">
        <v>100830</v>
      </c>
      <c r="E1429" t="s">
        <v>2440</v>
      </c>
      <c r="F1429" t="s">
        <v>2804</v>
      </c>
      <c r="G1429" t="s">
        <v>2805</v>
      </c>
      <c r="H1429" t="s">
        <v>2813</v>
      </c>
      <c r="I1429" t="s">
        <v>54</v>
      </c>
      <c r="J1429" t="s">
        <v>2807</v>
      </c>
      <c r="K1429" t="s">
        <v>56</v>
      </c>
      <c r="L1429">
        <v>0</v>
      </c>
      <c r="M1429" t="s">
        <v>73</v>
      </c>
      <c r="N1429">
        <v>0</v>
      </c>
      <c r="O1429" t="s">
        <v>58</v>
      </c>
      <c r="P1429" t="s">
        <v>59</v>
      </c>
      <c r="Q1429" t="s">
        <v>98</v>
      </c>
      <c r="R1429" t="s">
        <v>2807</v>
      </c>
      <c r="S1429" s="1">
        <v>44433</v>
      </c>
      <c r="T1429" s="1">
        <v>44435</v>
      </c>
      <c r="U1429">
        <v>37501</v>
      </c>
      <c r="V1429" t="s">
        <v>104</v>
      </c>
      <c r="W1429" t="s">
        <v>2814</v>
      </c>
      <c r="X1429" s="1">
        <v>44438</v>
      </c>
      <c r="Y1429" t="s">
        <v>63</v>
      </c>
      <c r="Z1429">
        <v>1779.74</v>
      </c>
      <c r="AA1429">
        <v>16</v>
      </c>
      <c r="AB1429">
        <v>277.77</v>
      </c>
      <c r="AC1429">
        <v>0</v>
      </c>
      <c r="AD1429">
        <v>2057.5100000000002</v>
      </c>
      <c r="AE1429">
        <v>3547.51</v>
      </c>
      <c r="AF1429">
        <v>5172</v>
      </c>
      <c r="AG1429" t="s">
        <v>2819</v>
      </c>
      <c r="AH1429" t="s">
        <v>65</v>
      </c>
      <c r="AI1429" t="s">
        <v>65</v>
      </c>
      <c r="AJ1429" t="s">
        <v>66</v>
      </c>
      <c r="AK1429" t="s">
        <v>66</v>
      </c>
      <c r="AL1429" t="s">
        <v>66</v>
      </c>
      <c r="AM1429" s="2" t="str">
        <f>HYPERLINK("https://transparencia.cidesi.mx/comprobantes/2021/CQ2100711 /C5Tf75c6711-6128-42b3-af19-4b440906c5ca.pdf")</f>
        <v>https://transparencia.cidesi.mx/comprobantes/2021/CQ2100711 /C5Tf75c6711-6128-42b3-af19-4b440906c5ca.pdf</v>
      </c>
      <c r="AN1429" t="str">
        <f>HYPERLINK("https://transparencia.cidesi.mx/comprobantes/2021/CQ2100711 /C5Tf75c6711-6128-42b3-af19-4b440906c5ca.pdf")</f>
        <v>https://transparencia.cidesi.mx/comprobantes/2021/CQ2100711 /C5Tf75c6711-6128-42b3-af19-4b440906c5ca.pdf</v>
      </c>
      <c r="AO1429" t="str">
        <f>HYPERLINK("https://transparencia.cidesi.mx/comprobantes/2021/CQ2100711 /C5Tf75c6711-6128-42b3-af19-4b440906c5ca.xml")</f>
        <v>https://transparencia.cidesi.mx/comprobantes/2021/CQ2100711 /C5Tf75c6711-6128-42b3-af19-4b440906c5ca.xml</v>
      </c>
      <c r="AP1429" t="s">
        <v>2807</v>
      </c>
      <c r="AQ1429" t="s">
        <v>2816</v>
      </c>
      <c r="AR1429" t="s">
        <v>2817</v>
      </c>
      <c r="AS1429" t="s">
        <v>2818</v>
      </c>
      <c r="AT1429" s="1">
        <v>44441</v>
      </c>
      <c r="AU1429" s="1">
        <v>44442</v>
      </c>
    </row>
    <row r="1430" spans="1:47" x14ac:dyDescent="0.3">
      <c r="A1430" t="s">
        <v>2803</v>
      </c>
      <c r="B1430" t="s">
        <v>224</v>
      </c>
      <c r="C1430" t="s">
        <v>224</v>
      </c>
      <c r="D1430">
        <v>100830</v>
      </c>
      <c r="E1430" t="s">
        <v>2440</v>
      </c>
      <c r="F1430" t="s">
        <v>2804</v>
      </c>
      <c r="G1430" t="s">
        <v>2805</v>
      </c>
      <c r="H1430" t="s">
        <v>2813</v>
      </c>
      <c r="I1430" t="s">
        <v>54</v>
      </c>
      <c r="J1430" t="s">
        <v>2807</v>
      </c>
      <c r="K1430" t="s">
        <v>56</v>
      </c>
      <c r="L1430">
        <v>0</v>
      </c>
      <c r="M1430" t="s">
        <v>73</v>
      </c>
      <c r="N1430">
        <v>0</v>
      </c>
      <c r="O1430" t="s">
        <v>58</v>
      </c>
      <c r="P1430" t="s">
        <v>59</v>
      </c>
      <c r="Q1430" t="s">
        <v>98</v>
      </c>
      <c r="R1430" t="s">
        <v>2807</v>
      </c>
      <c r="S1430" s="1">
        <v>44433</v>
      </c>
      <c r="T1430" s="1">
        <v>44435</v>
      </c>
      <c r="U1430">
        <v>37501</v>
      </c>
      <c r="V1430" t="s">
        <v>61</v>
      </c>
      <c r="W1430" t="s">
        <v>2814</v>
      </c>
      <c r="X1430" s="1">
        <v>44438</v>
      </c>
      <c r="Y1430" t="s">
        <v>63</v>
      </c>
      <c r="Z1430">
        <v>344.83</v>
      </c>
      <c r="AA1430">
        <v>16</v>
      </c>
      <c r="AB1430">
        <v>55.17</v>
      </c>
      <c r="AC1430">
        <v>0</v>
      </c>
      <c r="AD1430">
        <v>400</v>
      </c>
      <c r="AE1430">
        <v>3547.51</v>
      </c>
      <c r="AF1430">
        <v>5172</v>
      </c>
      <c r="AG1430" t="s">
        <v>2815</v>
      </c>
      <c r="AH1430" t="s">
        <v>65</v>
      </c>
      <c r="AI1430" t="s">
        <v>65</v>
      </c>
      <c r="AJ1430" t="s">
        <v>66</v>
      </c>
      <c r="AK1430" t="s">
        <v>66</v>
      </c>
      <c r="AL1430" t="s">
        <v>66</v>
      </c>
      <c r="AM1430" s="2" t="str">
        <f>HYPERLINK("https://transparencia.cidesi.mx/comprobantes/2021/CQ2100711 /C6B2080_AE069462-037A-4A94-8FAA-310352E5A63C.pdf")</f>
        <v>https://transparencia.cidesi.mx/comprobantes/2021/CQ2100711 /C6B2080_AE069462-037A-4A94-8FAA-310352E5A63C.pdf</v>
      </c>
      <c r="AN1430" t="str">
        <f>HYPERLINK("https://transparencia.cidesi.mx/comprobantes/2021/CQ2100711 /C6B2080_AE069462-037A-4A94-8FAA-310352E5A63C.pdf")</f>
        <v>https://transparencia.cidesi.mx/comprobantes/2021/CQ2100711 /C6B2080_AE069462-037A-4A94-8FAA-310352E5A63C.pdf</v>
      </c>
      <c r="AO1430" t="str">
        <f>HYPERLINK("https://transparencia.cidesi.mx/comprobantes/2021/CQ2100711 /C6B2080_AE069462-037A-4A94-8FAA-310352E5A63C.xml")</f>
        <v>https://transparencia.cidesi.mx/comprobantes/2021/CQ2100711 /C6B2080_AE069462-037A-4A94-8FAA-310352E5A63C.xml</v>
      </c>
      <c r="AP1430" t="s">
        <v>2807</v>
      </c>
      <c r="AQ1430" t="s">
        <v>2816</v>
      </c>
      <c r="AR1430" t="s">
        <v>2817</v>
      </c>
      <c r="AS1430" t="s">
        <v>2818</v>
      </c>
      <c r="AT1430" s="1">
        <v>44441</v>
      </c>
      <c r="AU1430" s="1">
        <v>44442</v>
      </c>
    </row>
    <row r="1431" spans="1:47" x14ac:dyDescent="0.3">
      <c r="A1431" t="s">
        <v>2820</v>
      </c>
      <c r="B1431" t="s">
        <v>48</v>
      </c>
      <c r="C1431" t="s">
        <v>392</v>
      </c>
      <c r="D1431">
        <v>100976</v>
      </c>
      <c r="E1431" t="s">
        <v>2821</v>
      </c>
      <c r="F1431" t="s">
        <v>1975</v>
      </c>
      <c r="G1431" t="s">
        <v>1975</v>
      </c>
      <c r="H1431" t="s">
        <v>2822</v>
      </c>
      <c r="I1431" t="s">
        <v>54</v>
      </c>
      <c r="J1431" t="s">
        <v>2823</v>
      </c>
      <c r="K1431" t="s">
        <v>56</v>
      </c>
      <c r="L1431">
        <v>0</v>
      </c>
      <c r="M1431" t="s">
        <v>73</v>
      </c>
      <c r="N1431">
        <v>0</v>
      </c>
      <c r="O1431" t="s">
        <v>58</v>
      </c>
      <c r="P1431" t="s">
        <v>59</v>
      </c>
      <c r="Q1431" t="s">
        <v>378</v>
      </c>
      <c r="R1431" t="s">
        <v>2823</v>
      </c>
      <c r="S1431" s="1">
        <v>44440</v>
      </c>
      <c r="T1431" s="1">
        <v>44440</v>
      </c>
      <c r="U1431">
        <v>37501</v>
      </c>
      <c r="V1431" t="s">
        <v>61</v>
      </c>
      <c r="W1431" t="s">
        <v>2824</v>
      </c>
      <c r="X1431" s="1">
        <v>44445</v>
      </c>
      <c r="Y1431" t="s">
        <v>63</v>
      </c>
      <c r="Z1431">
        <v>527.59</v>
      </c>
      <c r="AA1431">
        <v>16</v>
      </c>
      <c r="AB1431">
        <v>84.41</v>
      </c>
      <c r="AC1431">
        <v>0</v>
      </c>
      <c r="AD1431">
        <v>612</v>
      </c>
      <c r="AE1431">
        <v>612</v>
      </c>
      <c r="AF1431">
        <v>783</v>
      </c>
      <c r="AG1431" t="s">
        <v>2825</v>
      </c>
      <c r="AH1431" t="s">
        <v>65</v>
      </c>
      <c r="AI1431" t="s">
        <v>65</v>
      </c>
      <c r="AJ1431" t="s">
        <v>66</v>
      </c>
      <c r="AK1431" t="s">
        <v>66</v>
      </c>
      <c r="AL1431" t="s">
        <v>66</v>
      </c>
      <c r="AM1431" s="2" t="str">
        <f>HYPERLINK("https://transparencia.cidesi.mx/comprobantes/2021/CQ2100736 /C1A-6670-BANA850529A88-CID840309UG7.pdf")</f>
        <v>https://transparencia.cidesi.mx/comprobantes/2021/CQ2100736 /C1A-6670-BANA850529A88-CID840309UG7.pdf</v>
      </c>
      <c r="AN1431" t="str">
        <f>HYPERLINK("https://transparencia.cidesi.mx/comprobantes/2021/CQ2100736 /C1A-6670-BANA850529A88-CID840309UG7.pdf")</f>
        <v>https://transparencia.cidesi.mx/comprobantes/2021/CQ2100736 /C1A-6670-BANA850529A88-CID840309UG7.pdf</v>
      </c>
      <c r="AO1431" t="str">
        <f>HYPERLINK("https://transparencia.cidesi.mx/comprobantes/2021/CQ2100736 /C1A-6670-BANA850529A88-CID840309UG7Timbrado.xml")</f>
        <v>https://transparencia.cidesi.mx/comprobantes/2021/CQ2100736 /C1A-6670-BANA850529A88-CID840309UG7Timbrado.xml</v>
      </c>
      <c r="AP1431" t="s">
        <v>2826</v>
      </c>
      <c r="AQ1431" t="s">
        <v>2827</v>
      </c>
      <c r="AR1431" t="s">
        <v>2828</v>
      </c>
      <c r="AS1431" t="s">
        <v>2829</v>
      </c>
      <c r="AT1431" s="1">
        <v>44447</v>
      </c>
      <c r="AU1431" s="1">
        <v>44453</v>
      </c>
    </row>
    <row r="1432" spans="1:47" x14ac:dyDescent="0.3">
      <c r="A1432" t="s">
        <v>2830</v>
      </c>
      <c r="B1432" t="s">
        <v>48</v>
      </c>
      <c r="C1432" t="s">
        <v>48</v>
      </c>
      <c r="D1432">
        <v>101019</v>
      </c>
      <c r="E1432" t="s">
        <v>2831</v>
      </c>
      <c r="F1432" t="s">
        <v>2832</v>
      </c>
      <c r="G1432" t="s">
        <v>2833</v>
      </c>
      <c r="H1432" t="s">
        <v>2834</v>
      </c>
      <c r="I1432" t="s">
        <v>54</v>
      </c>
      <c r="J1432" t="s">
        <v>2835</v>
      </c>
      <c r="K1432" t="s">
        <v>56</v>
      </c>
      <c r="L1432">
        <v>0</v>
      </c>
      <c r="M1432" t="s">
        <v>73</v>
      </c>
      <c r="N1432">
        <v>0</v>
      </c>
      <c r="O1432" t="s">
        <v>58</v>
      </c>
      <c r="P1432" t="s">
        <v>59</v>
      </c>
      <c r="Q1432" t="s">
        <v>108</v>
      </c>
      <c r="R1432" t="s">
        <v>2835</v>
      </c>
      <c r="S1432" s="1">
        <v>44382</v>
      </c>
      <c r="T1432" s="1">
        <v>44382</v>
      </c>
      <c r="U1432">
        <v>37501</v>
      </c>
      <c r="V1432" t="s">
        <v>61</v>
      </c>
      <c r="W1432" t="s">
        <v>2836</v>
      </c>
      <c r="X1432" s="1">
        <v>44385</v>
      </c>
      <c r="Y1432" t="s">
        <v>63</v>
      </c>
      <c r="Z1432">
        <v>156.03</v>
      </c>
      <c r="AA1432">
        <v>16</v>
      </c>
      <c r="AB1432">
        <v>24.97</v>
      </c>
      <c r="AC1432">
        <v>0</v>
      </c>
      <c r="AD1432">
        <v>181</v>
      </c>
      <c r="AE1432">
        <v>717.8</v>
      </c>
      <c r="AF1432">
        <v>1034</v>
      </c>
      <c r="AG1432" t="s">
        <v>2837</v>
      </c>
      <c r="AH1432" t="s">
        <v>65</v>
      </c>
      <c r="AI1432" t="s">
        <v>65</v>
      </c>
      <c r="AJ1432" t="s">
        <v>66</v>
      </c>
      <c r="AK1432" t="s">
        <v>66</v>
      </c>
      <c r="AL1432" t="s">
        <v>66</v>
      </c>
      <c r="AM1432" s="2" t="str">
        <f>HYPERLINK("https://transparencia.cidesi.mx/comprobantes/2021/CQ2100491 /C166733_CSI020226MV4_PDF.pdf")</f>
        <v>https://transparencia.cidesi.mx/comprobantes/2021/CQ2100491 /C166733_CSI020226MV4_PDF.pdf</v>
      </c>
      <c r="AN1432" t="str">
        <f>HYPERLINK("https://transparencia.cidesi.mx/comprobantes/2021/CQ2100491 /C166733_CSI020226MV4_PDF.pdf")</f>
        <v>https://transparencia.cidesi.mx/comprobantes/2021/CQ2100491 /C166733_CSI020226MV4_PDF.pdf</v>
      </c>
      <c r="AO1432" t="str">
        <f>HYPERLINK("https://transparencia.cidesi.mx/comprobantes/2021/CQ2100491 /C166733_CSI020226MV4_XML.xml")</f>
        <v>https://transparencia.cidesi.mx/comprobantes/2021/CQ2100491 /C166733_CSI020226MV4_XML.xml</v>
      </c>
      <c r="AP1432" t="s">
        <v>2835</v>
      </c>
      <c r="AQ1432" t="s">
        <v>2838</v>
      </c>
      <c r="AR1432" t="s">
        <v>2839</v>
      </c>
      <c r="AS1432" t="s">
        <v>2840</v>
      </c>
      <c r="AT1432" s="1">
        <v>44386</v>
      </c>
      <c r="AU1432" s="1">
        <v>44389</v>
      </c>
    </row>
    <row r="1433" spans="1:47" x14ac:dyDescent="0.3">
      <c r="A1433" t="s">
        <v>2830</v>
      </c>
      <c r="B1433" t="s">
        <v>48</v>
      </c>
      <c r="C1433" t="s">
        <v>48</v>
      </c>
      <c r="D1433">
        <v>101019</v>
      </c>
      <c r="E1433" t="s">
        <v>2831</v>
      </c>
      <c r="F1433" t="s">
        <v>2832</v>
      </c>
      <c r="G1433" t="s">
        <v>2833</v>
      </c>
      <c r="H1433" t="s">
        <v>2834</v>
      </c>
      <c r="I1433" t="s">
        <v>54</v>
      </c>
      <c r="J1433" t="s">
        <v>2835</v>
      </c>
      <c r="K1433" t="s">
        <v>56</v>
      </c>
      <c r="L1433">
        <v>0</v>
      </c>
      <c r="M1433" t="s">
        <v>73</v>
      </c>
      <c r="N1433">
        <v>0</v>
      </c>
      <c r="O1433" t="s">
        <v>58</v>
      </c>
      <c r="P1433" t="s">
        <v>59</v>
      </c>
      <c r="Q1433" t="s">
        <v>108</v>
      </c>
      <c r="R1433" t="s">
        <v>2835</v>
      </c>
      <c r="S1433" s="1">
        <v>44382</v>
      </c>
      <c r="T1433" s="1">
        <v>44382</v>
      </c>
      <c r="U1433">
        <v>37501</v>
      </c>
      <c r="V1433" t="s">
        <v>61</v>
      </c>
      <c r="W1433" t="s">
        <v>2836</v>
      </c>
      <c r="X1433" s="1">
        <v>44385</v>
      </c>
      <c r="Y1433" t="s">
        <v>63</v>
      </c>
      <c r="Z1433">
        <v>420.69</v>
      </c>
      <c r="AA1433">
        <v>16</v>
      </c>
      <c r="AB1433">
        <v>67.31</v>
      </c>
      <c r="AC1433">
        <v>48.8</v>
      </c>
      <c r="AD1433">
        <v>536.79999999999995</v>
      </c>
      <c r="AE1433">
        <v>717.8</v>
      </c>
      <c r="AF1433">
        <v>1034</v>
      </c>
      <c r="AG1433" t="s">
        <v>2837</v>
      </c>
      <c r="AH1433" t="s">
        <v>65</v>
      </c>
      <c r="AI1433" t="s">
        <v>65</v>
      </c>
      <c r="AJ1433" t="s">
        <v>66</v>
      </c>
      <c r="AK1433" t="s">
        <v>66</v>
      </c>
      <c r="AL1433" t="s">
        <v>66</v>
      </c>
      <c r="AM1433" s="2" t="str">
        <f>HYPERLINK("https://transparencia.cidesi.mx/comprobantes/2021/CQ2100491 /C223556_ITA050113JL9_PDF.pdf")</f>
        <v>https://transparencia.cidesi.mx/comprobantes/2021/CQ2100491 /C223556_ITA050113JL9_PDF.pdf</v>
      </c>
      <c r="AN1433" t="str">
        <f>HYPERLINK("https://transparencia.cidesi.mx/comprobantes/2021/CQ2100491 /C223556_ITA050113JL9_PDF.pdf")</f>
        <v>https://transparencia.cidesi.mx/comprobantes/2021/CQ2100491 /C223556_ITA050113JL9_PDF.pdf</v>
      </c>
      <c r="AO1433" t="str">
        <f>HYPERLINK("https://transparencia.cidesi.mx/comprobantes/2021/CQ2100491 /C223556_ITA050113JL9_XML.xml")</f>
        <v>https://transparencia.cidesi.mx/comprobantes/2021/CQ2100491 /C223556_ITA050113JL9_XML.xml</v>
      </c>
      <c r="AP1433" t="s">
        <v>2835</v>
      </c>
      <c r="AQ1433" t="s">
        <v>2838</v>
      </c>
      <c r="AR1433" t="s">
        <v>2839</v>
      </c>
      <c r="AS1433" t="s">
        <v>2840</v>
      </c>
      <c r="AT1433" s="1">
        <v>44386</v>
      </c>
      <c r="AU1433" s="1">
        <v>44389</v>
      </c>
    </row>
    <row r="1434" spans="1:47" x14ac:dyDescent="0.3">
      <c r="A1434" t="s">
        <v>2830</v>
      </c>
      <c r="B1434" t="s">
        <v>48</v>
      </c>
      <c r="C1434" t="s">
        <v>48</v>
      </c>
      <c r="D1434">
        <v>101019</v>
      </c>
      <c r="E1434" t="s">
        <v>2831</v>
      </c>
      <c r="F1434" t="s">
        <v>2832</v>
      </c>
      <c r="G1434" t="s">
        <v>2833</v>
      </c>
      <c r="H1434" t="s">
        <v>2841</v>
      </c>
      <c r="I1434" t="s">
        <v>54</v>
      </c>
      <c r="J1434" t="s">
        <v>492</v>
      </c>
      <c r="K1434" t="s">
        <v>56</v>
      </c>
      <c r="L1434">
        <v>0</v>
      </c>
      <c r="M1434" t="s">
        <v>73</v>
      </c>
      <c r="N1434">
        <v>0</v>
      </c>
      <c r="O1434" t="s">
        <v>58</v>
      </c>
      <c r="P1434" t="s">
        <v>59</v>
      </c>
      <c r="Q1434" t="s">
        <v>189</v>
      </c>
      <c r="R1434" t="s">
        <v>492</v>
      </c>
      <c r="S1434" s="1">
        <v>44405</v>
      </c>
      <c r="T1434" s="1">
        <v>44405</v>
      </c>
      <c r="U1434">
        <v>37104</v>
      </c>
      <c r="V1434" t="s">
        <v>471</v>
      </c>
      <c r="W1434" t="s">
        <v>2842</v>
      </c>
      <c r="X1434" s="1">
        <v>44399</v>
      </c>
      <c r="Y1434" t="s">
        <v>63</v>
      </c>
      <c r="Z1434">
        <v>5587.69</v>
      </c>
      <c r="AA1434">
        <v>16</v>
      </c>
      <c r="AB1434">
        <v>779.31</v>
      </c>
      <c r="AC1434">
        <v>0</v>
      </c>
      <c r="AD1434">
        <v>6367</v>
      </c>
      <c r="AE1434">
        <v>6367</v>
      </c>
      <c r="AF1434">
        <v>8500</v>
      </c>
      <c r="AG1434" t="s">
        <v>2843</v>
      </c>
      <c r="AH1434" t="s">
        <v>66</v>
      </c>
      <c r="AI1434" t="s">
        <v>65</v>
      </c>
      <c r="AJ1434" t="s">
        <v>66</v>
      </c>
      <c r="AK1434" t="s">
        <v>66</v>
      </c>
      <c r="AL1434" t="s">
        <v>66</v>
      </c>
      <c r="AM1434" s="2" t="str">
        <f>HYPERLINK("https://transparencia.cidesi.mx/comprobantes/2021/CAQ210021 /C1F1392123208431_AME880912189_PDF.pdf")</f>
        <v>https://transparencia.cidesi.mx/comprobantes/2021/CAQ210021 /C1F1392123208431_AME880912189_PDF.pdf</v>
      </c>
      <c r="AN1434" t="str">
        <f>HYPERLINK("https://transparencia.cidesi.mx/comprobantes/2021/CAQ210021 /C1F1392123208431_AME880912189_PDF.pdf")</f>
        <v>https://transparencia.cidesi.mx/comprobantes/2021/CAQ210021 /C1F1392123208431_AME880912189_PDF.pdf</v>
      </c>
      <c r="AO1434" t="str">
        <f>HYPERLINK("https://transparencia.cidesi.mx/comprobantes/2021/CAQ210021 /C1F1392123208431_AME880912189_XML.xml")</f>
        <v>https://transparencia.cidesi.mx/comprobantes/2021/CAQ210021 /C1F1392123208431_AME880912189_XML.xml</v>
      </c>
      <c r="AP1434" t="s">
        <v>500</v>
      </c>
      <c r="AQ1434" t="s">
        <v>2844</v>
      </c>
      <c r="AR1434" t="s">
        <v>2845</v>
      </c>
      <c r="AS1434" t="s">
        <v>2846</v>
      </c>
      <c r="AT1434" s="1">
        <v>44399</v>
      </c>
      <c r="AU1434" s="1">
        <v>44403</v>
      </c>
    </row>
    <row r="1435" spans="1:47" x14ac:dyDescent="0.3">
      <c r="A1435" t="s">
        <v>2830</v>
      </c>
      <c r="B1435" t="s">
        <v>48</v>
      </c>
      <c r="C1435" t="s">
        <v>48</v>
      </c>
      <c r="D1435">
        <v>101019</v>
      </c>
      <c r="E1435" t="s">
        <v>2831</v>
      </c>
      <c r="F1435" t="s">
        <v>2832</v>
      </c>
      <c r="G1435" t="s">
        <v>2833</v>
      </c>
      <c r="H1435" t="s">
        <v>2847</v>
      </c>
      <c r="I1435" t="s">
        <v>54</v>
      </c>
      <c r="J1435" t="s">
        <v>492</v>
      </c>
      <c r="K1435" t="s">
        <v>56</v>
      </c>
      <c r="L1435">
        <v>0</v>
      </c>
      <c r="M1435" t="s">
        <v>73</v>
      </c>
      <c r="N1435">
        <v>0</v>
      </c>
      <c r="O1435" t="s">
        <v>58</v>
      </c>
      <c r="P1435" t="s">
        <v>59</v>
      </c>
      <c r="Q1435" t="s">
        <v>460</v>
      </c>
      <c r="R1435" t="s">
        <v>492</v>
      </c>
      <c r="S1435" s="1">
        <v>44405</v>
      </c>
      <c r="T1435" s="1">
        <v>44407</v>
      </c>
      <c r="U1435">
        <v>37501</v>
      </c>
      <c r="V1435" t="s">
        <v>61</v>
      </c>
      <c r="W1435" t="s">
        <v>2848</v>
      </c>
      <c r="X1435" s="1">
        <v>44411</v>
      </c>
      <c r="Y1435" t="s">
        <v>63</v>
      </c>
      <c r="Z1435">
        <v>441.81</v>
      </c>
      <c r="AA1435">
        <v>16</v>
      </c>
      <c r="AB1435">
        <v>70.69</v>
      </c>
      <c r="AC1435">
        <v>0</v>
      </c>
      <c r="AD1435">
        <v>512.5</v>
      </c>
      <c r="AE1435">
        <v>4149</v>
      </c>
      <c r="AF1435">
        <v>5172</v>
      </c>
      <c r="AG1435" t="s">
        <v>2837</v>
      </c>
      <c r="AH1435" t="s">
        <v>65</v>
      </c>
      <c r="AI1435" t="s">
        <v>65</v>
      </c>
      <c r="AJ1435" t="s">
        <v>66</v>
      </c>
      <c r="AK1435" t="s">
        <v>66</v>
      </c>
      <c r="AL1435" t="s">
        <v>66</v>
      </c>
      <c r="AM1435" s="2" t="str">
        <f>HYPERLINK("https://transparencia.cidesi.mx/comprobantes/2021/CQ2100593 /C1A12560_OGP110805JN3_PDF.pdf")</f>
        <v>https://transparencia.cidesi.mx/comprobantes/2021/CQ2100593 /C1A12560_OGP110805JN3_PDF.pdf</v>
      </c>
      <c r="AN1435" t="str">
        <f>HYPERLINK("https://transparencia.cidesi.mx/comprobantes/2021/CQ2100593 /C1A12560_OGP110805JN3_PDF.pdf")</f>
        <v>https://transparencia.cidesi.mx/comprobantes/2021/CQ2100593 /C1A12560_OGP110805JN3_PDF.pdf</v>
      </c>
      <c r="AO1435" t="str">
        <f>HYPERLINK("https://transparencia.cidesi.mx/comprobantes/2021/CQ2100593 /C1A12560_OGP110805JN3_XML.xml")</f>
        <v>https://transparencia.cidesi.mx/comprobantes/2021/CQ2100593 /C1A12560_OGP110805JN3_XML.xml</v>
      </c>
      <c r="AP1435" t="s">
        <v>2849</v>
      </c>
      <c r="AQ1435" t="s">
        <v>2850</v>
      </c>
      <c r="AR1435" t="s">
        <v>2851</v>
      </c>
      <c r="AS1435" t="s">
        <v>466</v>
      </c>
      <c r="AT1435" s="1">
        <v>44412</v>
      </c>
      <c r="AU1435" s="1">
        <v>44425</v>
      </c>
    </row>
    <row r="1436" spans="1:47" x14ac:dyDescent="0.3">
      <c r="A1436" t="s">
        <v>2830</v>
      </c>
      <c r="B1436" t="s">
        <v>48</v>
      </c>
      <c r="C1436" t="s">
        <v>48</v>
      </c>
      <c r="D1436">
        <v>101019</v>
      </c>
      <c r="E1436" t="s">
        <v>2831</v>
      </c>
      <c r="F1436" t="s">
        <v>2832</v>
      </c>
      <c r="G1436" t="s">
        <v>2833</v>
      </c>
      <c r="H1436" t="s">
        <v>2847</v>
      </c>
      <c r="I1436" t="s">
        <v>54</v>
      </c>
      <c r="J1436" t="s">
        <v>492</v>
      </c>
      <c r="K1436" t="s">
        <v>56</v>
      </c>
      <c r="L1436">
        <v>0</v>
      </c>
      <c r="M1436" t="s">
        <v>73</v>
      </c>
      <c r="N1436">
        <v>0</v>
      </c>
      <c r="O1436" t="s">
        <v>58</v>
      </c>
      <c r="P1436" t="s">
        <v>59</v>
      </c>
      <c r="Q1436" t="s">
        <v>460</v>
      </c>
      <c r="R1436" t="s">
        <v>492</v>
      </c>
      <c r="S1436" s="1">
        <v>44405</v>
      </c>
      <c r="T1436" s="1">
        <v>44407</v>
      </c>
      <c r="U1436">
        <v>37501</v>
      </c>
      <c r="V1436" t="s">
        <v>61</v>
      </c>
      <c r="W1436" t="s">
        <v>2848</v>
      </c>
      <c r="X1436" s="1">
        <v>44411</v>
      </c>
      <c r="Y1436" t="s">
        <v>63</v>
      </c>
      <c r="Z1436">
        <v>285.33999999999997</v>
      </c>
      <c r="AA1436">
        <v>16</v>
      </c>
      <c r="AB1436">
        <v>45.66</v>
      </c>
      <c r="AC1436">
        <v>0</v>
      </c>
      <c r="AD1436">
        <v>331</v>
      </c>
      <c r="AE1436">
        <v>4149</v>
      </c>
      <c r="AF1436">
        <v>5172</v>
      </c>
      <c r="AG1436" t="s">
        <v>2837</v>
      </c>
      <c r="AH1436" t="s">
        <v>65</v>
      </c>
      <c r="AI1436" t="s">
        <v>65</v>
      </c>
      <c r="AJ1436" t="s">
        <v>66</v>
      </c>
      <c r="AK1436" t="s">
        <v>66</v>
      </c>
      <c r="AL1436" t="s">
        <v>66</v>
      </c>
      <c r="AM1436" s="2" t="str">
        <f>HYPERLINK("https://transparencia.cidesi.mx/comprobantes/2021/CQ2100593 /C2SCTHB302287_CSI020226MV4_PDF.pdf")</f>
        <v>https://transparencia.cidesi.mx/comprobantes/2021/CQ2100593 /C2SCTHB302287_CSI020226MV4_PDF.pdf</v>
      </c>
      <c r="AN1436" t="str">
        <f>HYPERLINK("https://transparencia.cidesi.mx/comprobantes/2021/CQ2100593 /C2SCTHB302287_CSI020226MV4_PDF.pdf")</f>
        <v>https://transparencia.cidesi.mx/comprobantes/2021/CQ2100593 /C2SCTHB302287_CSI020226MV4_PDF.pdf</v>
      </c>
      <c r="AO1436" t="str">
        <f>HYPERLINK("https://transparencia.cidesi.mx/comprobantes/2021/CQ2100593 /C2SCTHB302287_CSI020226MV4_XML.xml")</f>
        <v>https://transparencia.cidesi.mx/comprobantes/2021/CQ2100593 /C2SCTHB302287_CSI020226MV4_XML.xml</v>
      </c>
      <c r="AP1436" t="s">
        <v>2849</v>
      </c>
      <c r="AQ1436" t="s">
        <v>2850</v>
      </c>
      <c r="AR1436" t="s">
        <v>2851</v>
      </c>
      <c r="AS1436" t="s">
        <v>466</v>
      </c>
      <c r="AT1436" s="1">
        <v>44412</v>
      </c>
      <c r="AU1436" s="1">
        <v>44425</v>
      </c>
    </row>
    <row r="1437" spans="1:47" x14ac:dyDescent="0.3">
      <c r="A1437" t="s">
        <v>2830</v>
      </c>
      <c r="B1437" t="s">
        <v>48</v>
      </c>
      <c r="C1437" t="s">
        <v>48</v>
      </c>
      <c r="D1437">
        <v>101019</v>
      </c>
      <c r="E1437" t="s">
        <v>2831</v>
      </c>
      <c r="F1437" t="s">
        <v>2832</v>
      </c>
      <c r="G1437" t="s">
        <v>2833</v>
      </c>
      <c r="H1437" t="s">
        <v>2847</v>
      </c>
      <c r="I1437" t="s">
        <v>54</v>
      </c>
      <c r="J1437" t="s">
        <v>492</v>
      </c>
      <c r="K1437" t="s">
        <v>56</v>
      </c>
      <c r="L1437">
        <v>0</v>
      </c>
      <c r="M1437" t="s">
        <v>73</v>
      </c>
      <c r="N1437">
        <v>0</v>
      </c>
      <c r="O1437" t="s">
        <v>58</v>
      </c>
      <c r="P1437" t="s">
        <v>59</v>
      </c>
      <c r="Q1437" t="s">
        <v>460</v>
      </c>
      <c r="R1437" t="s">
        <v>492</v>
      </c>
      <c r="S1437" s="1">
        <v>44405</v>
      </c>
      <c r="T1437" s="1">
        <v>44407</v>
      </c>
      <c r="U1437">
        <v>37501</v>
      </c>
      <c r="V1437" t="s">
        <v>61</v>
      </c>
      <c r="W1437" t="s">
        <v>2848</v>
      </c>
      <c r="X1437" s="1">
        <v>44411</v>
      </c>
      <c r="Y1437" t="s">
        <v>63</v>
      </c>
      <c r="Z1437">
        <v>124.14</v>
      </c>
      <c r="AA1437">
        <v>16</v>
      </c>
      <c r="AB1437">
        <v>19.86</v>
      </c>
      <c r="AC1437">
        <v>0</v>
      </c>
      <c r="AD1437">
        <v>144</v>
      </c>
      <c r="AE1437">
        <v>4149</v>
      </c>
      <c r="AF1437">
        <v>5172</v>
      </c>
      <c r="AG1437" t="s">
        <v>2837</v>
      </c>
      <c r="AH1437" t="s">
        <v>65</v>
      </c>
      <c r="AI1437" t="s">
        <v>65</v>
      </c>
      <c r="AJ1437" t="s">
        <v>66</v>
      </c>
      <c r="AK1437" t="s">
        <v>66</v>
      </c>
      <c r="AL1437" t="s">
        <v>66</v>
      </c>
      <c r="AM1437" s="2" t="str">
        <f>HYPERLINK("https://transparencia.cidesi.mx/comprobantes/2021/CQ2100593 /C3SCNBDC7938_CSI020226MV4_PDF.pdf")</f>
        <v>https://transparencia.cidesi.mx/comprobantes/2021/CQ2100593 /C3SCNBDC7938_CSI020226MV4_PDF.pdf</v>
      </c>
      <c r="AN1437" t="str">
        <f>HYPERLINK("https://transparencia.cidesi.mx/comprobantes/2021/CQ2100593 /C3SCNBDC7938_CSI020226MV4_PDF.pdf")</f>
        <v>https://transparencia.cidesi.mx/comprobantes/2021/CQ2100593 /C3SCNBDC7938_CSI020226MV4_PDF.pdf</v>
      </c>
      <c r="AO1437" t="str">
        <f>HYPERLINK("https://transparencia.cidesi.mx/comprobantes/2021/CQ2100593 /C3SCNBDC7938_CSI020226MV4_XML.xml")</f>
        <v>https://transparencia.cidesi.mx/comprobantes/2021/CQ2100593 /C3SCNBDC7938_CSI020226MV4_XML.xml</v>
      </c>
      <c r="AP1437" t="s">
        <v>2849</v>
      </c>
      <c r="AQ1437" t="s">
        <v>2850</v>
      </c>
      <c r="AR1437" t="s">
        <v>2851</v>
      </c>
      <c r="AS1437" t="s">
        <v>466</v>
      </c>
      <c r="AT1437" s="1">
        <v>44412</v>
      </c>
      <c r="AU1437" s="1">
        <v>44425</v>
      </c>
    </row>
    <row r="1438" spans="1:47" x14ac:dyDescent="0.3">
      <c r="A1438" t="s">
        <v>2830</v>
      </c>
      <c r="B1438" t="s">
        <v>48</v>
      </c>
      <c r="C1438" t="s">
        <v>48</v>
      </c>
      <c r="D1438">
        <v>101019</v>
      </c>
      <c r="E1438" t="s">
        <v>2831</v>
      </c>
      <c r="F1438" t="s">
        <v>2832</v>
      </c>
      <c r="G1438" t="s">
        <v>2833</v>
      </c>
      <c r="H1438" t="s">
        <v>2847</v>
      </c>
      <c r="I1438" t="s">
        <v>54</v>
      </c>
      <c r="J1438" t="s">
        <v>492</v>
      </c>
      <c r="K1438" t="s">
        <v>56</v>
      </c>
      <c r="L1438">
        <v>0</v>
      </c>
      <c r="M1438" t="s">
        <v>73</v>
      </c>
      <c r="N1438">
        <v>0</v>
      </c>
      <c r="O1438" t="s">
        <v>58</v>
      </c>
      <c r="P1438" t="s">
        <v>59</v>
      </c>
      <c r="Q1438" t="s">
        <v>460</v>
      </c>
      <c r="R1438" t="s">
        <v>492</v>
      </c>
      <c r="S1438" s="1">
        <v>44405</v>
      </c>
      <c r="T1438" s="1">
        <v>44407</v>
      </c>
      <c r="U1438">
        <v>37501</v>
      </c>
      <c r="V1438" t="s">
        <v>61</v>
      </c>
      <c r="W1438" t="s">
        <v>2848</v>
      </c>
      <c r="X1438" s="1">
        <v>44411</v>
      </c>
      <c r="Y1438" t="s">
        <v>63</v>
      </c>
      <c r="Z1438">
        <v>295.69</v>
      </c>
      <c r="AA1438">
        <v>16</v>
      </c>
      <c r="AB1438">
        <v>47.31</v>
      </c>
      <c r="AC1438">
        <v>0</v>
      </c>
      <c r="AD1438">
        <v>343</v>
      </c>
      <c r="AE1438">
        <v>4149</v>
      </c>
      <c r="AF1438">
        <v>5172</v>
      </c>
      <c r="AG1438" t="s">
        <v>2837</v>
      </c>
      <c r="AH1438" t="s">
        <v>65</v>
      </c>
      <c r="AI1438" t="s">
        <v>65</v>
      </c>
      <c r="AJ1438" t="s">
        <v>66</v>
      </c>
      <c r="AK1438" t="s">
        <v>66</v>
      </c>
      <c r="AL1438" t="s">
        <v>66</v>
      </c>
      <c r="AM1438" s="2" t="str">
        <f>HYPERLINK("https://transparencia.cidesi.mx/comprobantes/2021/CQ2100593 /C478583_FBW151214A52_PDF.pdf")</f>
        <v>https://transparencia.cidesi.mx/comprobantes/2021/CQ2100593 /C478583_FBW151214A52_PDF.pdf</v>
      </c>
      <c r="AN1438" t="str">
        <f>HYPERLINK("https://transparencia.cidesi.mx/comprobantes/2021/CQ2100593 /C478583_FBW151214A52_PDF.pdf")</f>
        <v>https://transparencia.cidesi.mx/comprobantes/2021/CQ2100593 /C478583_FBW151214A52_PDF.pdf</v>
      </c>
      <c r="AO1438" t="str">
        <f>HYPERLINK("https://transparencia.cidesi.mx/comprobantes/2021/CQ2100593 /C478583_FBW151214A52_XML.xml")</f>
        <v>https://transparencia.cidesi.mx/comprobantes/2021/CQ2100593 /C478583_FBW151214A52_XML.xml</v>
      </c>
      <c r="AP1438" t="s">
        <v>2849</v>
      </c>
      <c r="AQ1438" t="s">
        <v>2850</v>
      </c>
      <c r="AR1438" t="s">
        <v>2851</v>
      </c>
      <c r="AS1438" t="s">
        <v>466</v>
      </c>
      <c r="AT1438" s="1">
        <v>44412</v>
      </c>
      <c r="AU1438" s="1">
        <v>44425</v>
      </c>
    </row>
    <row r="1439" spans="1:47" x14ac:dyDescent="0.3">
      <c r="A1439" t="s">
        <v>2830</v>
      </c>
      <c r="B1439" t="s">
        <v>48</v>
      </c>
      <c r="C1439" t="s">
        <v>48</v>
      </c>
      <c r="D1439">
        <v>101019</v>
      </c>
      <c r="E1439" t="s">
        <v>2831</v>
      </c>
      <c r="F1439" t="s">
        <v>2832</v>
      </c>
      <c r="G1439" t="s">
        <v>2833</v>
      </c>
      <c r="H1439" t="s">
        <v>2847</v>
      </c>
      <c r="I1439" t="s">
        <v>54</v>
      </c>
      <c r="J1439" t="s">
        <v>492</v>
      </c>
      <c r="K1439" t="s">
        <v>56</v>
      </c>
      <c r="L1439">
        <v>0</v>
      </c>
      <c r="M1439" t="s">
        <v>73</v>
      </c>
      <c r="N1439">
        <v>0</v>
      </c>
      <c r="O1439" t="s">
        <v>58</v>
      </c>
      <c r="P1439" t="s">
        <v>59</v>
      </c>
      <c r="Q1439" t="s">
        <v>460</v>
      </c>
      <c r="R1439" t="s">
        <v>492</v>
      </c>
      <c r="S1439" s="1">
        <v>44405</v>
      </c>
      <c r="T1439" s="1">
        <v>44407</v>
      </c>
      <c r="U1439">
        <v>37501</v>
      </c>
      <c r="V1439" t="s">
        <v>61</v>
      </c>
      <c r="W1439" t="s">
        <v>2848</v>
      </c>
      <c r="X1439" s="1">
        <v>44411</v>
      </c>
      <c r="Y1439" t="s">
        <v>63</v>
      </c>
      <c r="Z1439">
        <v>59.19</v>
      </c>
      <c r="AA1439">
        <v>16</v>
      </c>
      <c r="AB1439">
        <v>1.31</v>
      </c>
      <c r="AC1439">
        <v>0</v>
      </c>
      <c r="AD1439">
        <v>60.5</v>
      </c>
      <c r="AE1439">
        <v>4149</v>
      </c>
      <c r="AF1439">
        <v>5172</v>
      </c>
      <c r="AG1439" t="s">
        <v>2837</v>
      </c>
      <c r="AH1439" t="s">
        <v>65</v>
      </c>
      <c r="AI1439" t="s">
        <v>65</v>
      </c>
      <c r="AJ1439" t="s">
        <v>66</v>
      </c>
      <c r="AK1439" t="s">
        <v>66</v>
      </c>
      <c r="AL1439" t="s">
        <v>66</v>
      </c>
      <c r="AM1439" s="2" t="str">
        <f>HYPERLINK("https://transparencia.cidesi.mx/comprobantes/2021/CQ2100593 /C5339813395_CCO8605231N4_PDF.pdf")</f>
        <v>https://transparencia.cidesi.mx/comprobantes/2021/CQ2100593 /C5339813395_CCO8605231N4_PDF.pdf</v>
      </c>
      <c r="AN1439" t="str">
        <f>HYPERLINK("https://transparencia.cidesi.mx/comprobantes/2021/CQ2100593 /C5339813395_CCO8605231N4_PDF.pdf")</f>
        <v>https://transparencia.cidesi.mx/comprobantes/2021/CQ2100593 /C5339813395_CCO8605231N4_PDF.pdf</v>
      </c>
      <c r="AO1439" t="str">
        <f>HYPERLINK("https://transparencia.cidesi.mx/comprobantes/2021/CQ2100593 /C5339813395_CCO8605231N4_XML.xml")</f>
        <v>https://transparencia.cidesi.mx/comprobantes/2021/CQ2100593 /C5339813395_CCO8605231N4_XML.xml</v>
      </c>
      <c r="AP1439" t="s">
        <v>2849</v>
      </c>
      <c r="AQ1439" t="s">
        <v>2850</v>
      </c>
      <c r="AR1439" t="s">
        <v>2851</v>
      </c>
      <c r="AS1439" t="s">
        <v>466</v>
      </c>
      <c r="AT1439" s="1">
        <v>44412</v>
      </c>
      <c r="AU1439" s="1">
        <v>44425</v>
      </c>
    </row>
    <row r="1440" spans="1:47" x14ac:dyDescent="0.3">
      <c r="A1440" t="s">
        <v>2830</v>
      </c>
      <c r="B1440" t="s">
        <v>48</v>
      </c>
      <c r="C1440" t="s">
        <v>48</v>
      </c>
      <c r="D1440">
        <v>101019</v>
      </c>
      <c r="E1440" t="s">
        <v>2831</v>
      </c>
      <c r="F1440" t="s">
        <v>2832</v>
      </c>
      <c r="G1440" t="s">
        <v>2833</v>
      </c>
      <c r="H1440" t="s">
        <v>2847</v>
      </c>
      <c r="I1440" t="s">
        <v>54</v>
      </c>
      <c r="J1440" t="s">
        <v>492</v>
      </c>
      <c r="K1440" t="s">
        <v>56</v>
      </c>
      <c r="L1440">
        <v>0</v>
      </c>
      <c r="M1440" t="s">
        <v>73</v>
      </c>
      <c r="N1440">
        <v>0</v>
      </c>
      <c r="O1440" t="s">
        <v>58</v>
      </c>
      <c r="P1440" t="s">
        <v>59</v>
      </c>
      <c r="Q1440" t="s">
        <v>460</v>
      </c>
      <c r="R1440" t="s">
        <v>492</v>
      </c>
      <c r="S1440" s="1">
        <v>44405</v>
      </c>
      <c r="T1440" s="1">
        <v>44407</v>
      </c>
      <c r="U1440">
        <v>37501</v>
      </c>
      <c r="V1440" t="s">
        <v>61</v>
      </c>
      <c r="W1440" t="s">
        <v>2848</v>
      </c>
      <c r="X1440" s="1">
        <v>44411</v>
      </c>
      <c r="Y1440" t="s">
        <v>63</v>
      </c>
      <c r="Z1440">
        <v>112.07</v>
      </c>
      <c r="AA1440">
        <v>16</v>
      </c>
      <c r="AB1440">
        <v>17.93</v>
      </c>
      <c r="AC1440">
        <v>0</v>
      </c>
      <c r="AD1440">
        <v>130</v>
      </c>
      <c r="AE1440">
        <v>4149</v>
      </c>
      <c r="AF1440">
        <v>5172</v>
      </c>
      <c r="AG1440" t="s">
        <v>2837</v>
      </c>
      <c r="AH1440" t="s">
        <v>65</v>
      </c>
      <c r="AI1440" t="s">
        <v>65</v>
      </c>
      <c r="AJ1440" t="s">
        <v>66</v>
      </c>
      <c r="AK1440" t="s">
        <v>66</v>
      </c>
      <c r="AL1440" t="s">
        <v>66</v>
      </c>
      <c r="AM1440" s="2" t="str">
        <f>HYPERLINK("https://transparencia.cidesi.mx/comprobantes/2021/CQ2100593 /C6C33-734_CCD130408S12_PDF.pdf")</f>
        <v>https://transparencia.cidesi.mx/comprobantes/2021/CQ2100593 /C6C33-734_CCD130408S12_PDF.pdf</v>
      </c>
      <c r="AN1440" t="str">
        <f>HYPERLINK("https://transparencia.cidesi.mx/comprobantes/2021/CQ2100593 /C6C33-734_CCD130408S12_PDF.pdf")</f>
        <v>https://transparencia.cidesi.mx/comprobantes/2021/CQ2100593 /C6C33-734_CCD130408S12_PDF.pdf</v>
      </c>
      <c r="AO1440" t="str">
        <f>HYPERLINK("https://transparencia.cidesi.mx/comprobantes/2021/CQ2100593 /C6C33-734_CCD130408S12_XML.xml")</f>
        <v>https://transparencia.cidesi.mx/comprobantes/2021/CQ2100593 /C6C33-734_CCD130408S12_XML.xml</v>
      </c>
      <c r="AP1440" t="s">
        <v>2849</v>
      </c>
      <c r="AQ1440" t="s">
        <v>2850</v>
      </c>
      <c r="AR1440" t="s">
        <v>2851</v>
      </c>
      <c r="AS1440" t="s">
        <v>466</v>
      </c>
      <c r="AT1440" s="1">
        <v>44412</v>
      </c>
      <c r="AU1440" s="1">
        <v>44425</v>
      </c>
    </row>
    <row r="1441" spans="1:47" x14ac:dyDescent="0.3">
      <c r="A1441" t="s">
        <v>2830</v>
      </c>
      <c r="B1441" t="s">
        <v>48</v>
      </c>
      <c r="C1441" t="s">
        <v>48</v>
      </c>
      <c r="D1441">
        <v>101019</v>
      </c>
      <c r="E1441" t="s">
        <v>2831</v>
      </c>
      <c r="F1441" t="s">
        <v>2832</v>
      </c>
      <c r="G1441" t="s">
        <v>2833</v>
      </c>
      <c r="H1441" t="s">
        <v>2847</v>
      </c>
      <c r="I1441" t="s">
        <v>54</v>
      </c>
      <c r="J1441" t="s">
        <v>492</v>
      </c>
      <c r="K1441" t="s">
        <v>56</v>
      </c>
      <c r="L1441">
        <v>0</v>
      </c>
      <c r="M1441" t="s">
        <v>73</v>
      </c>
      <c r="N1441">
        <v>0</v>
      </c>
      <c r="O1441" t="s">
        <v>58</v>
      </c>
      <c r="P1441" t="s">
        <v>59</v>
      </c>
      <c r="Q1441" t="s">
        <v>460</v>
      </c>
      <c r="R1441" t="s">
        <v>492</v>
      </c>
      <c r="S1441" s="1">
        <v>44405</v>
      </c>
      <c r="T1441" s="1">
        <v>44407</v>
      </c>
      <c r="U1441">
        <v>37501</v>
      </c>
      <c r="V1441" t="s">
        <v>61</v>
      </c>
      <c r="W1441" t="s">
        <v>2848</v>
      </c>
      <c r="X1441" s="1">
        <v>44411</v>
      </c>
      <c r="Y1441" t="s">
        <v>63</v>
      </c>
      <c r="Z1441">
        <v>129.31</v>
      </c>
      <c r="AA1441">
        <v>16</v>
      </c>
      <c r="AB1441">
        <v>20.69</v>
      </c>
      <c r="AC1441">
        <v>0</v>
      </c>
      <c r="AD1441">
        <v>150</v>
      </c>
      <c r="AE1441">
        <v>4149</v>
      </c>
      <c r="AF1441">
        <v>5172</v>
      </c>
      <c r="AG1441" t="s">
        <v>2837</v>
      </c>
      <c r="AH1441" t="s">
        <v>65</v>
      </c>
      <c r="AI1441" t="s">
        <v>65</v>
      </c>
      <c r="AJ1441" t="s">
        <v>66</v>
      </c>
      <c r="AK1441" t="s">
        <v>66</v>
      </c>
      <c r="AL1441" t="s">
        <v>66</v>
      </c>
      <c r="AM1441" s="2" t="str">
        <f>HYPERLINK("https://transparencia.cidesi.mx/comprobantes/2021/CQ2100593 /C7C33-735_CCD130408S12_PDF.pdf")</f>
        <v>https://transparencia.cidesi.mx/comprobantes/2021/CQ2100593 /C7C33-735_CCD130408S12_PDF.pdf</v>
      </c>
      <c r="AN1441" t="str">
        <f>HYPERLINK("https://transparencia.cidesi.mx/comprobantes/2021/CQ2100593 /C7C33-735_CCD130408S12_PDF.pdf")</f>
        <v>https://transparencia.cidesi.mx/comprobantes/2021/CQ2100593 /C7C33-735_CCD130408S12_PDF.pdf</v>
      </c>
      <c r="AO1441" t="str">
        <f>HYPERLINK("https://transparencia.cidesi.mx/comprobantes/2021/CQ2100593 /C7C33-735_CCD130408S12_XML.xml")</f>
        <v>https://transparencia.cidesi.mx/comprobantes/2021/CQ2100593 /C7C33-735_CCD130408S12_XML.xml</v>
      </c>
      <c r="AP1441" t="s">
        <v>2849</v>
      </c>
      <c r="AQ1441" t="s">
        <v>2850</v>
      </c>
      <c r="AR1441" t="s">
        <v>2851</v>
      </c>
      <c r="AS1441" t="s">
        <v>466</v>
      </c>
      <c r="AT1441" s="1">
        <v>44412</v>
      </c>
      <c r="AU1441" s="1">
        <v>44425</v>
      </c>
    </row>
    <row r="1442" spans="1:47" x14ac:dyDescent="0.3">
      <c r="A1442" t="s">
        <v>2830</v>
      </c>
      <c r="B1442" t="s">
        <v>48</v>
      </c>
      <c r="C1442" t="s">
        <v>48</v>
      </c>
      <c r="D1442">
        <v>101019</v>
      </c>
      <c r="E1442" t="s">
        <v>2831</v>
      </c>
      <c r="F1442" t="s">
        <v>2832</v>
      </c>
      <c r="G1442" t="s">
        <v>2833</v>
      </c>
      <c r="H1442" t="s">
        <v>2847</v>
      </c>
      <c r="I1442" t="s">
        <v>54</v>
      </c>
      <c r="J1442" t="s">
        <v>492</v>
      </c>
      <c r="K1442" t="s">
        <v>56</v>
      </c>
      <c r="L1442">
        <v>0</v>
      </c>
      <c r="M1442" t="s">
        <v>73</v>
      </c>
      <c r="N1442">
        <v>0</v>
      </c>
      <c r="O1442" t="s">
        <v>58</v>
      </c>
      <c r="P1442" t="s">
        <v>59</v>
      </c>
      <c r="Q1442" t="s">
        <v>460</v>
      </c>
      <c r="R1442" t="s">
        <v>492</v>
      </c>
      <c r="S1442" s="1">
        <v>44405</v>
      </c>
      <c r="T1442" s="1">
        <v>44407</v>
      </c>
      <c r="U1442">
        <v>37501</v>
      </c>
      <c r="V1442" t="s">
        <v>104</v>
      </c>
      <c r="W1442" t="s">
        <v>2848</v>
      </c>
      <c r="X1442" s="1">
        <v>44411</v>
      </c>
      <c r="Y1442" t="s">
        <v>63</v>
      </c>
      <c r="Z1442">
        <v>2142</v>
      </c>
      <c r="AA1442">
        <v>16</v>
      </c>
      <c r="AB1442">
        <v>336</v>
      </c>
      <c r="AC1442">
        <v>0</v>
      </c>
      <c r="AD1442">
        <v>2478</v>
      </c>
      <c r="AE1442">
        <v>4149</v>
      </c>
      <c r="AF1442">
        <v>5172</v>
      </c>
      <c r="AG1442" t="s">
        <v>2852</v>
      </c>
      <c r="AH1442" t="s">
        <v>65</v>
      </c>
      <c r="AI1442" t="s">
        <v>65</v>
      </c>
      <c r="AJ1442" t="s">
        <v>66</v>
      </c>
      <c r="AK1442" t="s">
        <v>66</v>
      </c>
      <c r="AL1442" t="s">
        <v>66</v>
      </c>
      <c r="AM1442" s="2" t="str">
        <f>HYPERLINK("https://transparencia.cidesi.mx/comprobantes/2021/CQ2100593 /C8A33-31127_CCD130408S12_PDF.pdf")</f>
        <v>https://transparencia.cidesi.mx/comprobantes/2021/CQ2100593 /C8A33-31127_CCD130408S12_PDF.pdf</v>
      </c>
      <c r="AN1442" t="str">
        <f>HYPERLINK("https://transparencia.cidesi.mx/comprobantes/2021/CQ2100593 /C8A33-31127_CCD130408S12_PDF.pdf")</f>
        <v>https://transparencia.cidesi.mx/comprobantes/2021/CQ2100593 /C8A33-31127_CCD130408S12_PDF.pdf</v>
      </c>
      <c r="AO1442" t="str">
        <f>HYPERLINK("https://transparencia.cidesi.mx/comprobantes/2021/CQ2100593 /C8A33-31127_CCD130408S12_XML.xml")</f>
        <v>https://transparencia.cidesi.mx/comprobantes/2021/CQ2100593 /C8A33-31127_CCD130408S12_XML.xml</v>
      </c>
      <c r="AP1442" t="s">
        <v>2849</v>
      </c>
      <c r="AQ1442" t="s">
        <v>2850</v>
      </c>
      <c r="AR1442" t="s">
        <v>2851</v>
      </c>
      <c r="AS1442" t="s">
        <v>466</v>
      </c>
      <c r="AT1442" s="1">
        <v>44412</v>
      </c>
      <c r="AU1442" s="1">
        <v>44425</v>
      </c>
    </row>
    <row r="1443" spans="1:47" x14ac:dyDescent="0.3">
      <c r="A1443" t="s">
        <v>2830</v>
      </c>
      <c r="B1443" t="s">
        <v>48</v>
      </c>
      <c r="C1443" t="s">
        <v>48</v>
      </c>
      <c r="D1443">
        <v>101019</v>
      </c>
      <c r="E1443" t="s">
        <v>2831</v>
      </c>
      <c r="F1443" t="s">
        <v>2832</v>
      </c>
      <c r="G1443" t="s">
        <v>2833</v>
      </c>
      <c r="H1443" t="s">
        <v>2853</v>
      </c>
      <c r="I1443" t="s">
        <v>54</v>
      </c>
      <c r="J1443" t="s">
        <v>2854</v>
      </c>
      <c r="K1443" t="s">
        <v>56</v>
      </c>
      <c r="L1443">
        <v>0</v>
      </c>
      <c r="M1443" t="s">
        <v>73</v>
      </c>
      <c r="N1443">
        <v>0</v>
      </c>
      <c r="O1443" t="s">
        <v>58</v>
      </c>
      <c r="P1443" t="s">
        <v>59</v>
      </c>
      <c r="Q1443" t="s">
        <v>297</v>
      </c>
      <c r="R1443" t="s">
        <v>2854</v>
      </c>
      <c r="S1443" s="1">
        <v>44440</v>
      </c>
      <c r="T1443" s="1">
        <v>44442</v>
      </c>
      <c r="U1443">
        <v>37501</v>
      </c>
      <c r="V1443" t="s">
        <v>61</v>
      </c>
      <c r="W1443" t="s">
        <v>2855</v>
      </c>
      <c r="X1443" s="1">
        <v>44446</v>
      </c>
      <c r="Y1443" t="s">
        <v>63</v>
      </c>
      <c r="Z1443">
        <v>251.72</v>
      </c>
      <c r="AA1443">
        <v>16</v>
      </c>
      <c r="AB1443">
        <v>40.28</v>
      </c>
      <c r="AC1443">
        <v>29.2</v>
      </c>
      <c r="AD1443">
        <v>321.2</v>
      </c>
      <c r="AE1443">
        <v>5172</v>
      </c>
      <c r="AF1443">
        <v>5172</v>
      </c>
      <c r="AG1443" t="s">
        <v>2837</v>
      </c>
      <c r="AH1443" t="s">
        <v>65</v>
      </c>
      <c r="AI1443" t="s">
        <v>65</v>
      </c>
      <c r="AJ1443" t="s">
        <v>66</v>
      </c>
      <c r="AK1443" t="s">
        <v>66</v>
      </c>
      <c r="AL1443" t="s">
        <v>66</v>
      </c>
      <c r="AM1443" s="2" t="str">
        <f>HYPERLINK("https://transparencia.cidesi.mx/comprobantes/2021/CQ2100745 /C1D_13170_OAP981214DP3_PDF.pdf")</f>
        <v>https://transparencia.cidesi.mx/comprobantes/2021/CQ2100745 /C1D_13170_OAP981214DP3_PDF.pdf</v>
      </c>
      <c r="AN1443" t="str">
        <f>HYPERLINK("https://transparencia.cidesi.mx/comprobantes/2021/CQ2100745 /C1D_13170_OAP981214DP3_PDF.pdf")</f>
        <v>https://transparencia.cidesi.mx/comprobantes/2021/CQ2100745 /C1D_13170_OAP981214DP3_PDF.pdf</v>
      </c>
      <c r="AO1443" t="str">
        <f>HYPERLINK("https://transparencia.cidesi.mx/comprobantes/2021/CQ2100745 /C1D-13170_OAP981214DP3_XML.xml")</f>
        <v>https://transparencia.cidesi.mx/comprobantes/2021/CQ2100745 /C1D-13170_OAP981214DP3_XML.xml</v>
      </c>
      <c r="AP1443" t="s">
        <v>2856</v>
      </c>
      <c r="AQ1443" t="s">
        <v>2857</v>
      </c>
      <c r="AR1443" t="s">
        <v>2858</v>
      </c>
      <c r="AS1443" t="s">
        <v>2859</v>
      </c>
      <c r="AT1443" s="1">
        <v>44448</v>
      </c>
      <c r="AU1443" s="1">
        <v>44467</v>
      </c>
    </row>
    <row r="1444" spans="1:47" x14ac:dyDescent="0.3">
      <c r="A1444" t="s">
        <v>2830</v>
      </c>
      <c r="B1444" t="s">
        <v>48</v>
      </c>
      <c r="C1444" t="s">
        <v>48</v>
      </c>
      <c r="D1444">
        <v>101019</v>
      </c>
      <c r="E1444" t="s">
        <v>2831</v>
      </c>
      <c r="F1444" t="s">
        <v>2832</v>
      </c>
      <c r="G1444" t="s">
        <v>2833</v>
      </c>
      <c r="H1444" t="s">
        <v>2853</v>
      </c>
      <c r="I1444" t="s">
        <v>54</v>
      </c>
      <c r="J1444" t="s">
        <v>2854</v>
      </c>
      <c r="K1444" t="s">
        <v>56</v>
      </c>
      <c r="L1444">
        <v>0</v>
      </c>
      <c r="M1444" t="s">
        <v>73</v>
      </c>
      <c r="N1444">
        <v>0</v>
      </c>
      <c r="O1444" t="s">
        <v>58</v>
      </c>
      <c r="P1444" t="s">
        <v>59</v>
      </c>
      <c r="Q1444" t="s">
        <v>297</v>
      </c>
      <c r="R1444" t="s">
        <v>2854</v>
      </c>
      <c r="S1444" s="1">
        <v>44440</v>
      </c>
      <c r="T1444" s="1">
        <v>44442</v>
      </c>
      <c r="U1444">
        <v>37501</v>
      </c>
      <c r="V1444" t="s">
        <v>61</v>
      </c>
      <c r="W1444" t="s">
        <v>2855</v>
      </c>
      <c r="X1444" s="1">
        <v>44446</v>
      </c>
      <c r="Y1444" t="s">
        <v>63</v>
      </c>
      <c r="Z1444">
        <v>292.24</v>
      </c>
      <c r="AA1444">
        <v>16</v>
      </c>
      <c r="AB1444">
        <v>46.76</v>
      </c>
      <c r="AC1444">
        <v>34</v>
      </c>
      <c r="AD1444">
        <v>373</v>
      </c>
      <c r="AE1444">
        <v>5172</v>
      </c>
      <c r="AF1444">
        <v>5172</v>
      </c>
      <c r="AG1444" t="s">
        <v>2837</v>
      </c>
      <c r="AH1444" t="s">
        <v>65</v>
      </c>
      <c r="AI1444" t="s">
        <v>65</v>
      </c>
      <c r="AJ1444" t="s">
        <v>66</v>
      </c>
      <c r="AK1444" t="s">
        <v>66</v>
      </c>
      <c r="AL1444" t="s">
        <v>66</v>
      </c>
      <c r="AM1444" s="2" t="str">
        <f>HYPERLINK("https://transparencia.cidesi.mx/comprobantes/2021/CQ2100745 /C232296_NDG071019LH4_PDF.pdf")</f>
        <v>https://transparencia.cidesi.mx/comprobantes/2021/CQ2100745 /C232296_NDG071019LH4_PDF.pdf</v>
      </c>
      <c r="AN1444" t="str">
        <f>HYPERLINK("https://transparencia.cidesi.mx/comprobantes/2021/CQ2100745 /C232296_NDG071019LH4_PDF.pdf")</f>
        <v>https://transparencia.cidesi.mx/comprobantes/2021/CQ2100745 /C232296_NDG071019LH4_PDF.pdf</v>
      </c>
      <c r="AO1444" t="str">
        <f>HYPERLINK("https://transparencia.cidesi.mx/comprobantes/2021/CQ2100745 /C232296_NDG071019LH4_XML.xml")</f>
        <v>https://transparencia.cidesi.mx/comprobantes/2021/CQ2100745 /C232296_NDG071019LH4_XML.xml</v>
      </c>
      <c r="AP1444" t="s">
        <v>2856</v>
      </c>
      <c r="AQ1444" t="s">
        <v>2857</v>
      </c>
      <c r="AR1444" t="s">
        <v>2858</v>
      </c>
      <c r="AS1444" t="s">
        <v>2859</v>
      </c>
      <c r="AT1444" s="1">
        <v>44448</v>
      </c>
      <c r="AU1444" s="1">
        <v>44467</v>
      </c>
    </row>
    <row r="1445" spans="1:47" x14ac:dyDescent="0.3">
      <c r="A1445" t="s">
        <v>2830</v>
      </c>
      <c r="B1445" t="s">
        <v>48</v>
      </c>
      <c r="C1445" t="s">
        <v>48</v>
      </c>
      <c r="D1445">
        <v>101019</v>
      </c>
      <c r="E1445" t="s">
        <v>2831</v>
      </c>
      <c r="F1445" t="s">
        <v>2832</v>
      </c>
      <c r="G1445" t="s">
        <v>2833</v>
      </c>
      <c r="H1445" t="s">
        <v>2853</v>
      </c>
      <c r="I1445" t="s">
        <v>54</v>
      </c>
      <c r="J1445" t="s">
        <v>2854</v>
      </c>
      <c r="K1445" t="s">
        <v>56</v>
      </c>
      <c r="L1445">
        <v>0</v>
      </c>
      <c r="M1445" t="s">
        <v>73</v>
      </c>
      <c r="N1445">
        <v>0</v>
      </c>
      <c r="O1445" t="s">
        <v>58</v>
      </c>
      <c r="P1445" t="s">
        <v>59</v>
      </c>
      <c r="Q1445" t="s">
        <v>297</v>
      </c>
      <c r="R1445" t="s">
        <v>2854</v>
      </c>
      <c r="S1445" s="1">
        <v>44440</v>
      </c>
      <c r="T1445" s="1">
        <v>44442</v>
      </c>
      <c r="U1445">
        <v>37501</v>
      </c>
      <c r="V1445" t="s">
        <v>61</v>
      </c>
      <c r="W1445" t="s">
        <v>2855</v>
      </c>
      <c r="X1445" s="1">
        <v>44446</v>
      </c>
      <c r="Y1445" t="s">
        <v>63</v>
      </c>
      <c r="Z1445">
        <v>760.78</v>
      </c>
      <c r="AA1445">
        <v>16</v>
      </c>
      <c r="AB1445">
        <v>121.72</v>
      </c>
      <c r="AC1445">
        <v>88.25</v>
      </c>
      <c r="AD1445">
        <v>970.75</v>
      </c>
      <c r="AE1445">
        <v>5172</v>
      </c>
      <c r="AF1445">
        <v>5172</v>
      </c>
      <c r="AG1445" t="s">
        <v>2837</v>
      </c>
      <c r="AH1445" t="s">
        <v>65</v>
      </c>
      <c r="AI1445" t="s">
        <v>65</v>
      </c>
      <c r="AJ1445" t="s">
        <v>66</v>
      </c>
      <c r="AK1445" t="s">
        <v>66</v>
      </c>
      <c r="AL1445" t="s">
        <v>66</v>
      </c>
      <c r="AM1445" s="2" t="str">
        <f>HYPERLINK("https://transparencia.cidesi.mx/comprobantes/2021/CQ2100745 /C3110712-LFAPO_RFA140624NW0_PDF.pdf")</f>
        <v>https://transparencia.cidesi.mx/comprobantes/2021/CQ2100745 /C3110712-LFAPO_RFA140624NW0_PDF.pdf</v>
      </c>
      <c r="AN1445" t="str">
        <f>HYPERLINK("https://transparencia.cidesi.mx/comprobantes/2021/CQ2100745 /C3110712-LFAPO_RFA140624NW0_PDF.pdf")</f>
        <v>https://transparencia.cidesi.mx/comprobantes/2021/CQ2100745 /C3110712-LFAPO_RFA140624NW0_PDF.pdf</v>
      </c>
      <c r="AO1445" t="str">
        <f>HYPERLINK("https://transparencia.cidesi.mx/comprobantes/2021/CQ2100745 /C3110712-LFAPO_RFA140624NW0_XML.xml")</f>
        <v>https://transparencia.cidesi.mx/comprobantes/2021/CQ2100745 /C3110712-LFAPO_RFA140624NW0_XML.xml</v>
      </c>
      <c r="AP1445" t="s">
        <v>2856</v>
      </c>
      <c r="AQ1445" t="s">
        <v>2857</v>
      </c>
      <c r="AR1445" t="s">
        <v>2858</v>
      </c>
      <c r="AS1445" t="s">
        <v>2859</v>
      </c>
      <c r="AT1445" s="1">
        <v>44448</v>
      </c>
      <c r="AU1445" s="1">
        <v>44467</v>
      </c>
    </row>
    <row r="1446" spans="1:47" x14ac:dyDescent="0.3">
      <c r="A1446" t="s">
        <v>2830</v>
      </c>
      <c r="B1446" t="s">
        <v>48</v>
      </c>
      <c r="C1446" t="s">
        <v>48</v>
      </c>
      <c r="D1446">
        <v>101019</v>
      </c>
      <c r="E1446" t="s">
        <v>2831</v>
      </c>
      <c r="F1446" t="s">
        <v>2832</v>
      </c>
      <c r="G1446" t="s">
        <v>2833</v>
      </c>
      <c r="H1446" t="s">
        <v>2853</v>
      </c>
      <c r="I1446" t="s">
        <v>54</v>
      </c>
      <c r="J1446" t="s">
        <v>2854</v>
      </c>
      <c r="K1446" t="s">
        <v>56</v>
      </c>
      <c r="L1446">
        <v>0</v>
      </c>
      <c r="M1446" t="s">
        <v>73</v>
      </c>
      <c r="N1446">
        <v>0</v>
      </c>
      <c r="O1446" t="s">
        <v>58</v>
      </c>
      <c r="P1446" t="s">
        <v>59</v>
      </c>
      <c r="Q1446" t="s">
        <v>297</v>
      </c>
      <c r="R1446" t="s">
        <v>2854</v>
      </c>
      <c r="S1446" s="1">
        <v>44440</v>
      </c>
      <c r="T1446" s="1">
        <v>44442</v>
      </c>
      <c r="U1446">
        <v>37501</v>
      </c>
      <c r="V1446" t="s">
        <v>61</v>
      </c>
      <c r="W1446" t="s">
        <v>2855</v>
      </c>
      <c r="X1446" s="1">
        <v>44446</v>
      </c>
      <c r="Y1446" t="s">
        <v>63</v>
      </c>
      <c r="Z1446">
        <v>275.86</v>
      </c>
      <c r="AA1446">
        <v>16</v>
      </c>
      <c r="AB1446">
        <v>44.14</v>
      </c>
      <c r="AC1446">
        <v>32</v>
      </c>
      <c r="AD1446">
        <v>352</v>
      </c>
      <c r="AE1446">
        <v>5172</v>
      </c>
      <c r="AF1446">
        <v>5172</v>
      </c>
      <c r="AG1446" t="s">
        <v>2837</v>
      </c>
      <c r="AH1446" t="s">
        <v>65</v>
      </c>
      <c r="AI1446" t="s">
        <v>65</v>
      </c>
      <c r="AJ1446" t="s">
        <v>66</v>
      </c>
      <c r="AK1446" t="s">
        <v>66</v>
      </c>
      <c r="AL1446" t="s">
        <v>66</v>
      </c>
      <c r="AM1446" s="2" t="str">
        <f>HYPERLINK("https://transparencia.cidesi.mx/comprobantes/2021/CQ2100745 /C454689_LFAPO_RFR1608093W7_PDF.pdf")</f>
        <v>https://transparencia.cidesi.mx/comprobantes/2021/CQ2100745 /C454689_LFAPO_RFR1608093W7_PDF.pdf</v>
      </c>
      <c r="AN1446" t="str">
        <f>HYPERLINK("https://transparencia.cidesi.mx/comprobantes/2021/CQ2100745 /C454689_LFAPO_RFR1608093W7_PDF.pdf")</f>
        <v>https://transparencia.cidesi.mx/comprobantes/2021/CQ2100745 /C454689_LFAPO_RFR1608093W7_PDF.pdf</v>
      </c>
      <c r="AO1446" t="str">
        <f>HYPERLINK("https://transparencia.cidesi.mx/comprobantes/2021/CQ2100745 /C454689_LFAPO_RFR1608093W7_PDF.xml")</f>
        <v>https://transparencia.cidesi.mx/comprobantes/2021/CQ2100745 /C454689_LFAPO_RFR1608093W7_PDF.xml</v>
      </c>
      <c r="AP1446" t="s">
        <v>2856</v>
      </c>
      <c r="AQ1446" t="s">
        <v>2857</v>
      </c>
      <c r="AR1446" t="s">
        <v>2858</v>
      </c>
      <c r="AS1446" t="s">
        <v>2859</v>
      </c>
      <c r="AT1446" s="1">
        <v>44448</v>
      </c>
      <c r="AU1446" s="1">
        <v>44467</v>
      </c>
    </row>
    <row r="1447" spans="1:47" x14ac:dyDescent="0.3">
      <c r="A1447" t="s">
        <v>2830</v>
      </c>
      <c r="B1447" t="s">
        <v>48</v>
      </c>
      <c r="C1447" t="s">
        <v>48</v>
      </c>
      <c r="D1447">
        <v>101019</v>
      </c>
      <c r="E1447" t="s">
        <v>2831</v>
      </c>
      <c r="F1447" t="s">
        <v>2832</v>
      </c>
      <c r="G1447" t="s">
        <v>2833</v>
      </c>
      <c r="H1447" t="s">
        <v>2853</v>
      </c>
      <c r="I1447" t="s">
        <v>54</v>
      </c>
      <c r="J1447" t="s">
        <v>2854</v>
      </c>
      <c r="K1447" t="s">
        <v>56</v>
      </c>
      <c r="L1447">
        <v>0</v>
      </c>
      <c r="M1447" t="s">
        <v>73</v>
      </c>
      <c r="N1447">
        <v>0</v>
      </c>
      <c r="O1447" t="s">
        <v>58</v>
      </c>
      <c r="P1447" t="s">
        <v>59</v>
      </c>
      <c r="Q1447" t="s">
        <v>297</v>
      </c>
      <c r="R1447" t="s">
        <v>2854</v>
      </c>
      <c r="S1447" s="1">
        <v>44440</v>
      </c>
      <c r="T1447" s="1">
        <v>44442</v>
      </c>
      <c r="U1447">
        <v>37501</v>
      </c>
      <c r="V1447" t="s">
        <v>61</v>
      </c>
      <c r="W1447" t="s">
        <v>2855</v>
      </c>
      <c r="X1447" s="1">
        <v>44446</v>
      </c>
      <c r="Y1447" t="s">
        <v>63</v>
      </c>
      <c r="Z1447">
        <v>167.24</v>
      </c>
      <c r="AA1447">
        <v>16</v>
      </c>
      <c r="AB1447">
        <v>26.76</v>
      </c>
      <c r="AC1447">
        <v>0</v>
      </c>
      <c r="AD1447">
        <v>194</v>
      </c>
      <c r="AE1447">
        <v>5172</v>
      </c>
      <c r="AF1447">
        <v>5172</v>
      </c>
      <c r="AG1447" t="s">
        <v>2837</v>
      </c>
      <c r="AH1447" t="s">
        <v>65</v>
      </c>
      <c r="AI1447" t="s">
        <v>65</v>
      </c>
      <c r="AJ1447" t="s">
        <v>66</v>
      </c>
      <c r="AK1447" t="s">
        <v>66</v>
      </c>
      <c r="AL1447" t="s">
        <v>66</v>
      </c>
      <c r="AM1447" s="2" t="str">
        <f>HYPERLINK("https://transparencia.cidesi.mx/comprobantes/2021/CQ2100745 /C5183803_CSI020226MV4_PDF.pdf")</f>
        <v>https://transparencia.cidesi.mx/comprobantes/2021/CQ2100745 /C5183803_CSI020226MV4_PDF.pdf</v>
      </c>
      <c r="AN1447" t="str">
        <f>HYPERLINK("https://transparencia.cidesi.mx/comprobantes/2021/CQ2100745 /C5183803_CSI020226MV4_PDF.pdf")</f>
        <v>https://transparencia.cidesi.mx/comprobantes/2021/CQ2100745 /C5183803_CSI020226MV4_PDF.pdf</v>
      </c>
      <c r="AO1447" t="str">
        <f>HYPERLINK("https://transparencia.cidesi.mx/comprobantes/2021/CQ2100745 /C5183803_CSI020226MV4_PDF.xml")</f>
        <v>https://transparencia.cidesi.mx/comprobantes/2021/CQ2100745 /C5183803_CSI020226MV4_PDF.xml</v>
      </c>
      <c r="AP1447" t="s">
        <v>2856</v>
      </c>
      <c r="AQ1447" t="s">
        <v>2857</v>
      </c>
      <c r="AR1447" t="s">
        <v>2858</v>
      </c>
      <c r="AS1447" t="s">
        <v>2859</v>
      </c>
      <c r="AT1447" s="1">
        <v>44448</v>
      </c>
      <c r="AU1447" s="1">
        <v>44467</v>
      </c>
    </row>
    <row r="1448" spans="1:47" x14ac:dyDescent="0.3">
      <c r="A1448" t="s">
        <v>2830</v>
      </c>
      <c r="B1448" t="s">
        <v>48</v>
      </c>
      <c r="C1448" t="s">
        <v>48</v>
      </c>
      <c r="D1448">
        <v>101019</v>
      </c>
      <c r="E1448" t="s">
        <v>2831</v>
      </c>
      <c r="F1448" t="s">
        <v>2832</v>
      </c>
      <c r="G1448" t="s">
        <v>2833</v>
      </c>
      <c r="H1448" t="s">
        <v>2853</v>
      </c>
      <c r="I1448" t="s">
        <v>54</v>
      </c>
      <c r="J1448" t="s">
        <v>2854</v>
      </c>
      <c r="K1448" t="s">
        <v>56</v>
      </c>
      <c r="L1448">
        <v>0</v>
      </c>
      <c r="M1448" t="s">
        <v>73</v>
      </c>
      <c r="N1448">
        <v>0</v>
      </c>
      <c r="O1448" t="s">
        <v>58</v>
      </c>
      <c r="P1448" t="s">
        <v>59</v>
      </c>
      <c r="Q1448" t="s">
        <v>297</v>
      </c>
      <c r="R1448" t="s">
        <v>2854</v>
      </c>
      <c r="S1448" s="1">
        <v>44440</v>
      </c>
      <c r="T1448" s="1">
        <v>44442</v>
      </c>
      <c r="U1448">
        <v>37501</v>
      </c>
      <c r="V1448" t="s">
        <v>61</v>
      </c>
      <c r="W1448" t="s">
        <v>2855</v>
      </c>
      <c r="X1448" s="1">
        <v>44446</v>
      </c>
      <c r="Y1448" t="s">
        <v>63</v>
      </c>
      <c r="Z1448">
        <v>134.47999999999999</v>
      </c>
      <c r="AA1448">
        <v>16</v>
      </c>
      <c r="AB1448">
        <v>21.52</v>
      </c>
      <c r="AC1448">
        <v>0</v>
      </c>
      <c r="AD1448">
        <v>156</v>
      </c>
      <c r="AE1448">
        <v>5172</v>
      </c>
      <c r="AF1448">
        <v>5172</v>
      </c>
      <c r="AG1448" t="s">
        <v>2837</v>
      </c>
      <c r="AH1448" t="s">
        <v>65</v>
      </c>
      <c r="AI1448" t="s">
        <v>65</v>
      </c>
      <c r="AJ1448" t="s">
        <v>66</v>
      </c>
      <c r="AK1448" t="s">
        <v>66</v>
      </c>
      <c r="AL1448" t="s">
        <v>66</v>
      </c>
      <c r="AM1448" s="2" t="str">
        <f>HYPERLINK("https://transparencia.cidesi.mx/comprobantes/2021/CQ2100745 /C68891_CSI020226MV4_PDF.pdf")</f>
        <v>https://transparencia.cidesi.mx/comprobantes/2021/CQ2100745 /C68891_CSI020226MV4_PDF.pdf</v>
      </c>
      <c r="AN1448" t="str">
        <f>HYPERLINK("https://transparencia.cidesi.mx/comprobantes/2021/CQ2100745 /C68891_CSI020226MV4_PDF.pdf")</f>
        <v>https://transparencia.cidesi.mx/comprobantes/2021/CQ2100745 /C68891_CSI020226MV4_PDF.pdf</v>
      </c>
      <c r="AO1448" t="str">
        <f>HYPERLINK("https://transparencia.cidesi.mx/comprobantes/2021/CQ2100745 /C68891_CSI020226MV4_PDF.xml")</f>
        <v>https://transparencia.cidesi.mx/comprobantes/2021/CQ2100745 /C68891_CSI020226MV4_PDF.xml</v>
      </c>
      <c r="AP1448" t="s">
        <v>2856</v>
      </c>
      <c r="AQ1448" t="s">
        <v>2857</v>
      </c>
      <c r="AR1448" t="s">
        <v>2858</v>
      </c>
      <c r="AS1448" t="s">
        <v>2859</v>
      </c>
      <c r="AT1448" s="1">
        <v>44448</v>
      </c>
      <c r="AU1448" s="1">
        <v>44467</v>
      </c>
    </row>
    <row r="1449" spans="1:47" x14ac:dyDescent="0.3">
      <c r="A1449" t="s">
        <v>2830</v>
      </c>
      <c r="B1449" t="s">
        <v>48</v>
      </c>
      <c r="C1449" t="s">
        <v>48</v>
      </c>
      <c r="D1449">
        <v>101019</v>
      </c>
      <c r="E1449" t="s">
        <v>2831</v>
      </c>
      <c r="F1449" t="s">
        <v>2832</v>
      </c>
      <c r="G1449" t="s">
        <v>2833</v>
      </c>
      <c r="H1449" t="s">
        <v>2853</v>
      </c>
      <c r="I1449" t="s">
        <v>54</v>
      </c>
      <c r="J1449" t="s">
        <v>2854</v>
      </c>
      <c r="K1449" t="s">
        <v>56</v>
      </c>
      <c r="L1449">
        <v>0</v>
      </c>
      <c r="M1449" t="s">
        <v>73</v>
      </c>
      <c r="N1449">
        <v>0</v>
      </c>
      <c r="O1449" t="s">
        <v>58</v>
      </c>
      <c r="P1449" t="s">
        <v>59</v>
      </c>
      <c r="Q1449" t="s">
        <v>297</v>
      </c>
      <c r="R1449" t="s">
        <v>2854</v>
      </c>
      <c r="S1449" s="1">
        <v>44440</v>
      </c>
      <c r="T1449" s="1">
        <v>44442</v>
      </c>
      <c r="U1449">
        <v>37501</v>
      </c>
      <c r="V1449" t="s">
        <v>104</v>
      </c>
      <c r="W1449" t="s">
        <v>2855</v>
      </c>
      <c r="X1449" s="1">
        <v>44446</v>
      </c>
      <c r="Y1449" t="s">
        <v>63</v>
      </c>
      <c r="Z1449">
        <v>2059.67</v>
      </c>
      <c r="AA1449">
        <v>16</v>
      </c>
      <c r="AB1449">
        <v>319.95</v>
      </c>
      <c r="AC1449">
        <v>0</v>
      </c>
      <c r="AD1449">
        <v>2379.62</v>
      </c>
      <c r="AE1449">
        <v>5172</v>
      </c>
      <c r="AF1449">
        <v>5172</v>
      </c>
      <c r="AG1449" t="s">
        <v>2852</v>
      </c>
      <c r="AH1449" t="s">
        <v>65</v>
      </c>
      <c r="AI1449" t="s">
        <v>65</v>
      </c>
      <c r="AJ1449" t="s">
        <v>66</v>
      </c>
      <c r="AK1449" t="s">
        <v>66</v>
      </c>
      <c r="AL1449" t="s">
        <v>66</v>
      </c>
      <c r="AM1449" s="2" t="str">
        <f>HYPERLINK("https://transparencia.cidesi.mx/comprobantes/2021/CQ2100745 /C7MTYZOA-38283_DBM121023M10_PDF.pdf")</f>
        <v>https://transparencia.cidesi.mx/comprobantes/2021/CQ2100745 /C7MTYZOA-38283_DBM121023M10_PDF.pdf</v>
      </c>
      <c r="AN1449" t="str">
        <f>HYPERLINK("https://transparencia.cidesi.mx/comprobantes/2021/CQ2100745 /C7MTYZOA-38283_DBM121023M10_PDF.pdf")</f>
        <v>https://transparencia.cidesi.mx/comprobantes/2021/CQ2100745 /C7MTYZOA-38283_DBM121023M10_PDF.pdf</v>
      </c>
      <c r="AO1449" t="str">
        <f>HYPERLINK("https://transparencia.cidesi.mx/comprobantes/2021/CQ2100745 /C7MTYZOA_38283_DBM121023M10_XML.xml")</f>
        <v>https://transparencia.cidesi.mx/comprobantes/2021/CQ2100745 /C7MTYZOA_38283_DBM121023M10_XML.xml</v>
      </c>
      <c r="AP1449" t="s">
        <v>2856</v>
      </c>
      <c r="AQ1449" t="s">
        <v>2857</v>
      </c>
      <c r="AR1449" t="s">
        <v>2858</v>
      </c>
      <c r="AS1449" t="s">
        <v>2859</v>
      </c>
      <c r="AT1449" s="1">
        <v>44448</v>
      </c>
      <c r="AU1449" s="1">
        <v>44467</v>
      </c>
    </row>
    <row r="1450" spans="1:47" x14ac:dyDescent="0.3">
      <c r="A1450" t="s">
        <v>2830</v>
      </c>
      <c r="B1450" t="s">
        <v>48</v>
      </c>
      <c r="C1450" t="s">
        <v>48</v>
      </c>
      <c r="D1450">
        <v>101019</v>
      </c>
      <c r="E1450" t="s">
        <v>2831</v>
      </c>
      <c r="F1450" t="s">
        <v>2832</v>
      </c>
      <c r="G1450" t="s">
        <v>2833</v>
      </c>
      <c r="H1450" t="s">
        <v>2853</v>
      </c>
      <c r="I1450" t="s">
        <v>54</v>
      </c>
      <c r="J1450" t="s">
        <v>2854</v>
      </c>
      <c r="K1450" t="s">
        <v>56</v>
      </c>
      <c r="L1450">
        <v>0</v>
      </c>
      <c r="M1450" t="s">
        <v>73</v>
      </c>
      <c r="N1450">
        <v>0</v>
      </c>
      <c r="O1450" t="s">
        <v>58</v>
      </c>
      <c r="P1450" t="s">
        <v>59</v>
      </c>
      <c r="Q1450" t="s">
        <v>297</v>
      </c>
      <c r="R1450" t="s">
        <v>2854</v>
      </c>
      <c r="S1450" s="1">
        <v>44440</v>
      </c>
      <c r="T1450" s="1">
        <v>44442</v>
      </c>
      <c r="U1450">
        <v>37501</v>
      </c>
      <c r="V1450" t="s">
        <v>61</v>
      </c>
      <c r="W1450" t="s">
        <v>2855</v>
      </c>
      <c r="X1450" s="1">
        <v>44446</v>
      </c>
      <c r="Y1450" t="s">
        <v>63</v>
      </c>
      <c r="Z1450">
        <v>249</v>
      </c>
      <c r="AA1450">
        <v>0</v>
      </c>
      <c r="AB1450">
        <v>0</v>
      </c>
      <c r="AC1450">
        <v>0</v>
      </c>
      <c r="AD1450">
        <v>249</v>
      </c>
      <c r="AE1450">
        <v>5172</v>
      </c>
      <c r="AF1450">
        <v>5172</v>
      </c>
      <c r="AG1450" t="s">
        <v>2837</v>
      </c>
      <c r="AH1450" t="s">
        <v>65</v>
      </c>
      <c r="AI1450" t="s">
        <v>65</v>
      </c>
      <c r="AJ1450" t="s">
        <v>66</v>
      </c>
      <c r="AK1450" t="s">
        <v>66</v>
      </c>
      <c r="AL1450" t="s">
        <v>66</v>
      </c>
      <c r="AM1450" s="2" t="str">
        <f>HYPERLINK("https://transparencia.cidesi.mx/comprobantes/2021/CQ2100745 /C8AMTYST-718_EAM1212146U9_PDF.pdf")</f>
        <v>https://transparencia.cidesi.mx/comprobantes/2021/CQ2100745 /C8AMTYST-718_EAM1212146U9_PDF.pdf</v>
      </c>
      <c r="AN1450" t="str">
        <f>HYPERLINK("https://transparencia.cidesi.mx/comprobantes/2021/CQ2100745 /C8AMTYST-718_EAM1212146U9_PDF.pdf")</f>
        <v>https://transparencia.cidesi.mx/comprobantes/2021/CQ2100745 /C8AMTYST-718_EAM1212146U9_PDF.pdf</v>
      </c>
      <c r="AO1450" t="str">
        <f>HYPERLINK("https://transparencia.cidesi.mx/comprobantes/2021/CQ2100745 /C8AMTYST_718_EAM1212146U9_XML.xml")</f>
        <v>https://transparencia.cidesi.mx/comprobantes/2021/CQ2100745 /C8AMTYST_718_EAM1212146U9_XML.xml</v>
      </c>
      <c r="AP1450" t="s">
        <v>2856</v>
      </c>
      <c r="AQ1450" t="s">
        <v>2857</v>
      </c>
      <c r="AR1450" t="s">
        <v>2858</v>
      </c>
      <c r="AS1450" t="s">
        <v>2859</v>
      </c>
      <c r="AT1450" s="1">
        <v>44448</v>
      </c>
      <c r="AU1450" s="1">
        <v>44467</v>
      </c>
    </row>
    <row r="1451" spans="1:47" x14ac:dyDescent="0.3">
      <c r="A1451" t="s">
        <v>2830</v>
      </c>
      <c r="B1451" t="s">
        <v>48</v>
      </c>
      <c r="C1451" t="s">
        <v>48</v>
      </c>
      <c r="D1451">
        <v>101019</v>
      </c>
      <c r="E1451" t="s">
        <v>2831</v>
      </c>
      <c r="F1451" t="s">
        <v>2832</v>
      </c>
      <c r="G1451" t="s">
        <v>2833</v>
      </c>
      <c r="H1451" t="s">
        <v>2853</v>
      </c>
      <c r="I1451" t="s">
        <v>54</v>
      </c>
      <c r="J1451" t="s">
        <v>2854</v>
      </c>
      <c r="K1451" t="s">
        <v>56</v>
      </c>
      <c r="L1451">
        <v>0</v>
      </c>
      <c r="M1451" t="s">
        <v>73</v>
      </c>
      <c r="N1451">
        <v>0</v>
      </c>
      <c r="O1451" t="s">
        <v>58</v>
      </c>
      <c r="P1451" t="s">
        <v>59</v>
      </c>
      <c r="Q1451" t="s">
        <v>297</v>
      </c>
      <c r="R1451" t="s">
        <v>2854</v>
      </c>
      <c r="S1451" s="1">
        <v>44440</v>
      </c>
      <c r="T1451" s="1">
        <v>44442</v>
      </c>
      <c r="U1451">
        <v>37501</v>
      </c>
      <c r="V1451" t="s">
        <v>61</v>
      </c>
      <c r="W1451" t="s">
        <v>2855</v>
      </c>
      <c r="X1451" s="1">
        <v>44446</v>
      </c>
      <c r="Y1451" t="s">
        <v>63</v>
      </c>
      <c r="Z1451">
        <v>103.05</v>
      </c>
      <c r="AA1451">
        <v>16</v>
      </c>
      <c r="AB1451">
        <v>73.38</v>
      </c>
      <c r="AC1451">
        <v>0</v>
      </c>
      <c r="AD1451">
        <v>176.43</v>
      </c>
      <c r="AE1451">
        <v>5172</v>
      </c>
      <c r="AF1451">
        <v>5172</v>
      </c>
      <c r="AG1451" t="s">
        <v>2837</v>
      </c>
      <c r="AH1451" t="s">
        <v>65</v>
      </c>
      <c r="AI1451" t="s">
        <v>65</v>
      </c>
      <c r="AJ1451" t="s">
        <v>66</v>
      </c>
      <c r="AK1451" t="s">
        <v>66</v>
      </c>
      <c r="AL1451" t="s">
        <v>66</v>
      </c>
      <c r="AM1451" s="2" t="str">
        <f>HYPERLINK("https://transparencia.cidesi.mx/comprobantes/2021/CQ2100745 /C96422_CRE9705151C6_PDF.pdf")</f>
        <v>https://transparencia.cidesi.mx/comprobantes/2021/CQ2100745 /C96422_CRE9705151C6_PDF.pdf</v>
      </c>
      <c r="AN1451" t="str">
        <f>HYPERLINK("https://transparencia.cidesi.mx/comprobantes/2021/CQ2100745 /C96422_CRE9705151C6_PDF.pdf")</f>
        <v>https://transparencia.cidesi.mx/comprobantes/2021/CQ2100745 /C96422_CRE9705151C6_PDF.pdf</v>
      </c>
      <c r="AO1451" t="str">
        <f>HYPERLINK("https://transparencia.cidesi.mx/comprobantes/2021/CQ2100745 /C96422_CRE9705151C6_XML.xml")</f>
        <v>https://transparencia.cidesi.mx/comprobantes/2021/CQ2100745 /C96422_CRE9705151C6_XML.xml</v>
      </c>
      <c r="AP1451" t="s">
        <v>2856</v>
      </c>
      <c r="AQ1451" t="s">
        <v>2857</v>
      </c>
      <c r="AR1451" t="s">
        <v>2858</v>
      </c>
      <c r="AS1451" t="s">
        <v>2859</v>
      </c>
      <c r="AT1451" s="1">
        <v>44448</v>
      </c>
      <c r="AU1451" s="1">
        <v>44467</v>
      </c>
    </row>
    <row r="1452" spans="1:47" x14ac:dyDescent="0.3">
      <c r="A1452" t="s">
        <v>2830</v>
      </c>
      <c r="B1452" t="s">
        <v>48</v>
      </c>
      <c r="C1452" t="s">
        <v>48</v>
      </c>
      <c r="D1452">
        <v>101019</v>
      </c>
      <c r="E1452" t="s">
        <v>2831</v>
      </c>
      <c r="F1452" t="s">
        <v>2832</v>
      </c>
      <c r="G1452" t="s">
        <v>2833</v>
      </c>
      <c r="H1452" t="s">
        <v>2860</v>
      </c>
      <c r="I1452" t="s">
        <v>54</v>
      </c>
      <c r="J1452" t="s">
        <v>2854</v>
      </c>
      <c r="K1452" t="s">
        <v>56</v>
      </c>
      <c r="L1452">
        <v>0</v>
      </c>
      <c r="M1452" t="s">
        <v>73</v>
      </c>
      <c r="N1452">
        <v>0</v>
      </c>
      <c r="O1452" t="s">
        <v>58</v>
      </c>
      <c r="P1452" t="s">
        <v>59</v>
      </c>
      <c r="Q1452" t="s">
        <v>189</v>
      </c>
      <c r="R1452" t="s">
        <v>2854</v>
      </c>
      <c r="S1452" s="1">
        <v>44440</v>
      </c>
      <c r="T1452" s="1">
        <v>44440</v>
      </c>
      <c r="U1452">
        <v>37104</v>
      </c>
      <c r="V1452" t="s">
        <v>471</v>
      </c>
      <c r="W1452" t="s">
        <v>2861</v>
      </c>
      <c r="X1452" s="1">
        <v>44435</v>
      </c>
      <c r="Y1452" t="s">
        <v>63</v>
      </c>
      <c r="Z1452">
        <v>3918.86</v>
      </c>
      <c r="AA1452">
        <v>16</v>
      </c>
      <c r="AB1452">
        <v>448.14</v>
      </c>
      <c r="AC1452">
        <v>0</v>
      </c>
      <c r="AD1452">
        <v>4367</v>
      </c>
      <c r="AE1452">
        <v>4367</v>
      </c>
      <c r="AF1452">
        <v>0</v>
      </c>
      <c r="AG1452" t="s">
        <v>2843</v>
      </c>
      <c r="AH1452" t="s">
        <v>66</v>
      </c>
      <c r="AI1452" t="s">
        <v>65</v>
      </c>
      <c r="AJ1452" t="s">
        <v>66</v>
      </c>
      <c r="AK1452" t="s">
        <v>66</v>
      </c>
      <c r="AL1452" t="s">
        <v>66</v>
      </c>
      <c r="AM1452" s="2" t="str">
        <f>HYPERLINK("https://transparencia.cidesi.mx/comprobantes/2021/CAQ210029 /C1031083_LCA111018A27_PDF.pdf")</f>
        <v>https://transparencia.cidesi.mx/comprobantes/2021/CAQ210029 /C1031083_LCA111018A27_PDF.pdf</v>
      </c>
      <c r="AN1452" t="str">
        <f>HYPERLINK("https://transparencia.cidesi.mx/comprobantes/2021/CAQ210029 /C1031083_LCA111018A27_PDF.pdf")</f>
        <v>https://transparencia.cidesi.mx/comprobantes/2021/CAQ210029 /C1031083_LCA111018A27_PDF.pdf</v>
      </c>
      <c r="AO1452" t="str">
        <f>HYPERLINK("https://transparencia.cidesi.mx/comprobantes/2021/CAQ210029 /C1031083_LCA111018A27_XML.xml")</f>
        <v>https://transparencia.cidesi.mx/comprobantes/2021/CAQ210029 /C1031083_LCA111018A27_XML.xml</v>
      </c>
      <c r="AP1452" t="s">
        <v>2862</v>
      </c>
      <c r="AQ1452" t="s">
        <v>2863</v>
      </c>
      <c r="AR1452" t="s">
        <v>2864</v>
      </c>
      <c r="AS1452" t="s">
        <v>2859</v>
      </c>
      <c r="AT1452" s="1">
        <v>44435</v>
      </c>
      <c r="AU1452" s="1">
        <v>44438</v>
      </c>
    </row>
    <row r="1453" spans="1:47" x14ac:dyDescent="0.3">
      <c r="A1453" t="s">
        <v>2830</v>
      </c>
      <c r="B1453" t="s">
        <v>48</v>
      </c>
      <c r="C1453" t="s">
        <v>48</v>
      </c>
      <c r="D1453">
        <v>101019</v>
      </c>
      <c r="E1453" t="s">
        <v>2831</v>
      </c>
      <c r="F1453" t="s">
        <v>2832</v>
      </c>
      <c r="G1453" t="s">
        <v>2833</v>
      </c>
      <c r="H1453" t="s">
        <v>2865</v>
      </c>
      <c r="I1453" t="s">
        <v>54</v>
      </c>
      <c r="J1453" t="s">
        <v>2866</v>
      </c>
      <c r="K1453" t="s">
        <v>56</v>
      </c>
      <c r="L1453">
        <v>0</v>
      </c>
      <c r="M1453" t="s">
        <v>73</v>
      </c>
      <c r="N1453">
        <v>0</v>
      </c>
      <c r="O1453" t="s">
        <v>58</v>
      </c>
      <c r="P1453" t="s">
        <v>59</v>
      </c>
      <c r="Q1453" t="s">
        <v>460</v>
      </c>
      <c r="R1453" t="s">
        <v>2866</v>
      </c>
      <c r="S1453" s="1">
        <v>44446</v>
      </c>
      <c r="T1453" s="1">
        <v>44449</v>
      </c>
      <c r="U1453">
        <v>37501</v>
      </c>
      <c r="V1453" t="s">
        <v>61</v>
      </c>
      <c r="W1453" t="s">
        <v>2867</v>
      </c>
      <c r="X1453" s="1">
        <v>44452</v>
      </c>
      <c r="Y1453" t="s">
        <v>100</v>
      </c>
      <c r="Z1453">
        <v>1034.48</v>
      </c>
      <c r="AA1453">
        <v>16</v>
      </c>
      <c r="AB1453">
        <v>165.52</v>
      </c>
      <c r="AC1453">
        <v>0</v>
      </c>
      <c r="AD1453">
        <v>1200</v>
      </c>
      <c r="AE1453">
        <v>6834.76</v>
      </c>
      <c r="AF1453">
        <v>7241</v>
      </c>
      <c r="AG1453" t="s">
        <v>2837</v>
      </c>
      <c r="AH1453" t="s">
        <v>65</v>
      </c>
      <c r="AI1453" t="s">
        <v>65</v>
      </c>
      <c r="AJ1453" t="s">
        <v>66</v>
      </c>
      <c r="AK1453" t="s">
        <v>66</v>
      </c>
      <c r="AL1453" t="s">
        <v>66</v>
      </c>
      <c r="AM1453" s="2" t="str">
        <f>HYPERLINK("https://transparencia.cidesi.mx/comprobantes/2021/CQ2100793 /C1C-17943_GGO920504SQ3_PDF.pdf")</f>
        <v>https://transparencia.cidesi.mx/comprobantes/2021/CQ2100793 /C1C-17943_GGO920504SQ3_PDF.pdf</v>
      </c>
      <c r="AN1453" t="str">
        <f>HYPERLINK("https://transparencia.cidesi.mx/comprobantes/2021/CQ2100793 /C1C-17943_GGO920504SQ3_PDF.pdf")</f>
        <v>https://transparencia.cidesi.mx/comprobantes/2021/CQ2100793 /C1C-17943_GGO920504SQ3_PDF.pdf</v>
      </c>
      <c r="AO1453" t="str">
        <f>HYPERLINK("https://transparencia.cidesi.mx/comprobantes/2021/CQ2100793 /C1C-17943_GGO920504SQ3_XML.xml")</f>
        <v>https://transparencia.cidesi.mx/comprobantes/2021/CQ2100793 /C1C-17943_GGO920504SQ3_XML.xml</v>
      </c>
      <c r="AP1453" t="s">
        <v>2868</v>
      </c>
      <c r="AQ1453" t="s">
        <v>2869</v>
      </c>
      <c r="AR1453" t="s">
        <v>2870</v>
      </c>
      <c r="AS1453" t="s">
        <v>2871</v>
      </c>
      <c r="AT1453" s="1">
        <v>44453</v>
      </c>
      <c r="AU1453" t="s">
        <v>73</v>
      </c>
    </row>
    <row r="1454" spans="1:47" x14ac:dyDescent="0.3">
      <c r="A1454" t="s">
        <v>2830</v>
      </c>
      <c r="B1454" t="s">
        <v>48</v>
      </c>
      <c r="C1454" t="s">
        <v>48</v>
      </c>
      <c r="D1454">
        <v>101019</v>
      </c>
      <c r="E1454" t="s">
        <v>2831</v>
      </c>
      <c r="F1454" t="s">
        <v>2832</v>
      </c>
      <c r="G1454" t="s">
        <v>2833</v>
      </c>
      <c r="H1454" t="s">
        <v>2865</v>
      </c>
      <c r="I1454" t="s">
        <v>54</v>
      </c>
      <c r="J1454" t="s">
        <v>2866</v>
      </c>
      <c r="K1454" t="s">
        <v>56</v>
      </c>
      <c r="L1454">
        <v>0</v>
      </c>
      <c r="M1454" t="s">
        <v>73</v>
      </c>
      <c r="N1454">
        <v>0</v>
      </c>
      <c r="O1454" t="s">
        <v>58</v>
      </c>
      <c r="P1454" t="s">
        <v>59</v>
      </c>
      <c r="Q1454" t="s">
        <v>460</v>
      </c>
      <c r="R1454" t="s">
        <v>2866</v>
      </c>
      <c r="S1454" s="1">
        <v>44446</v>
      </c>
      <c r="T1454" s="1">
        <v>44449</v>
      </c>
      <c r="U1454">
        <v>37501</v>
      </c>
      <c r="V1454" t="s">
        <v>61</v>
      </c>
      <c r="W1454" t="s">
        <v>2867</v>
      </c>
      <c r="X1454" s="1">
        <v>44452</v>
      </c>
      <c r="Y1454" t="s">
        <v>100</v>
      </c>
      <c r="Z1454">
        <v>151.72</v>
      </c>
      <c r="AA1454">
        <v>16</v>
      </c>
      <c r="AB1454">
        <v>24.28</v>
      </c>
      <c r="AC1454">
        <v>0</v>
      </c>
      <c r="AD1454">
        <v>176</v>
      </c>
      <c r="AE1454">
        <v>6834.76</v>
      </c>
      <c r="AF1454">
        <v>7241</v>
      </c>
      <c r="AG1454" t="s">
        <v>2837</v>
      </c>
      <c r="AH1454" t="s">
        <v>65</v>
      </c>
      <c r="AI1454" t="s">
        <v>65</v>
      </c>
      <c r="AJ1454" t="s">
        <v>66</v>
      </c>
      <c r="AK1454" t="s">
        <v>66</v>
      </c>
      <c r="AL1454" t="s">
        <v>66</v>
      </c>
      <c r="AM1454" s="2" t="str">
        <f>HYPERLINK("https://transparencia.cidesi.mx/comprobantes/2021/CQ2100793 /C2ECMA137966_SCC171019SQ7_PDF.pdf")</f>
        <v>https://transparencia.cidesi.mx/comprobantes/2021/CQ2100793 /C2ECMA137966_SCC171019SQ7_PDF.pdf</v>
      </c>
      <c r="AN1454" t="str">
        <f>HYPERLINK("https://transparencia.cidesi.mx/comprobantes/2021/CQ2100793 /C2ECMA137966_SCC171019SQ7_PDF.pdf")</f>
        <v>https://transparencia.cidesi.mx/comprobantes/2021/CQ2100793 /C2ECMA137966_SCC171019SQ7_PDF.pdf</v>
      </c>
      <c r="AO1454" t="str">
        <f>HYPERLINK("https://transparencia.cidesi.mx/comprobantes/2021/CQ2100793 /C2ECMA137966_SCC171019SQ7_XML.xml")</f>
        <v>https://transparencia.cidesi.mx/comprobantes/2021/CQ2100793 /C2ECMA137966_SCC171019SQ7_XML.xml</v>
      </c>
      <c r="AP1454" t="s">
        <v>2868</v>
      </c>
      <c r="AQ1454" t="s">
        <v>2869</v>
      </c>
      <c r="AR1454" t="s">
        <v>2870</v>
      </c>
      <c r="AS1454" t="s">
        <v>2871</v>
      </c>
      <c r="AT1454" s="1">
        <v>44453</v>
      </c>
      <c r="AU1454" t="s">
        <v>73</v>
      </c>
    </row>
    <row r="1455" spans="1:47" x14ac:dyDescent="0.3">
      <c r="A1455" t="s">
        <v>2830</v>
      </c>
      <c r="B1455" t="s">
        <v>48</v>
      </c>
      <c r="C1455" t="s">
        <v>48</v>
      </c>
      <c r="D1455">
        <v>101019</v>
      </c>
      <c r="E1455" t="s">
        <v>2831</v>
      </c>
      <c r="F1455" t="s">
        <v>2832</v>
      </c>
      <c r="G1455" t="s">
        <v>2833</v>
      </c>
      <c r="H1455" t="s">
        <v>2865</v>
      </c>
      <c r="I1455" t="s">
        <v>54</v>
      </c>
      <c r="J1455" t="s">
        <v>2866</v>
      </c>
      <c r="K1455" t="s">
        <v>56</v>
      </c>
      <c r="L1455">
        <v>0</v>
      </c>
      <c r="M1455" t="s">
        <v>73</v>
      </c>
      <c r="N1455">
        <v>0</v>
      </c>
      <c r="O1455" t="s">
        <v>58</v>
      </c>
      <c r="P1455" t="s">
        <v>59</v>
      </c>
      <c r="Q1455" t="s">
        <v>460</v>
      </c>
      <c r="R1455" t="s">
        <v>2866</v>
      </c>
      <c r="S1455" s="1">
        <v>44446</v>
      </c>
      <c r="T1455" s="1">
        <v>44449</v>
      </c>
      <c r="U1455">
        <v>37501</v>
      </c>
      <c r="V1455" t="s">
        <v>61</v>
      </c>
      <c r="W1455" t="s">
        <v>2867</v>
      </c>
      <c r="X1455" s="1">
        <v>44452</v>
      </c>
      <c r="Y1455" t="s">
        <v>100</v>
      </c>
      <c r="Z1455">
        <v>481.68</v>
      </c>
      <c r="AA1455">
        <v>16</v>
      </c>
      <c r="AB1455">
        <v>77.069999999999993</v>
      </c>
      <c r="AC1455">
        <v>0</v>
      </c>
      <c r="AD1455">
        <v>558.75</v>
      </c>
      <c r="AE1455">
        <v>6834.76</v>
      </c>
      <c r="AF1455">
        <v>7241</v>
      </c>
      <c r="AG1455" t="s">
        <v>2837</v>
      </c>
      <c r="AH1455" t="s">
        <v>65</v>
      </c>
      <c r="AI1455" t="s">
        <v>65</v>
      </c>
      <c r="AJ1455" t="s">
        <v>66</v>
      </c>
      <c r="AK1455" t="s">
        <v>66</v>
      </c>
      <c r="AL1455" t="s">
        <v>66</v>
      </c>
      <c r="AM1455" s="2" t="str">
        <f>HYPERLINK("https://transparencia.cidesi.mx/comprobantes/2021/CQ2100793 /C3A12918_OGP110805JN3_PDF.pdf")</f>
        <v>https://transparencia.cidesi.mx/comprobantes/2021/CQ2100793 /C3A12918_OGP110805JN3_PDF.pdf</v>
      </c>
      <c r="AN1455" t="str">
        <f>HYPERLINK("https://transparencia.cidesi.mx/comprobantes/2021/CQ2100793 /C3A12918_OGP110805JN3_PDF.pdf")</f>
        <v>https://transparencia.cidesi.mx/comprobantes/2021/CQ2100793 /C3A12918_OGP110805JN3_PDF.pdf</v>
      </c>
      <c r="AO1455" t="str">
        <f>HYPERLINK("https://transparencia.cidesi.mx/comprobantes/2021/CQ2100793 /C3A12918_OGP110805JN3_XML.xml")</f>
        <v>https://transparencia.cidesi.mx/comprobantes/2021/CQ2100793 /C3A12918_OGP110805JN3_XML.xml</v>
      </c>
      <c r="AP1455" t="s">
        <v>2868</v>
      </c>
      <c r="AQ1455" t="s">
        <v>2869</v>
      </c>
      <c r="AR1455" t="s">
        <v>2870</v>
      </c>
      <c r="AS1455" t="s">
        <v>2871</v>
      </c>
      <c r="AT1455" s="1">
        <v>44453</v>
      </c>
      <c r="AU1455" t="s">
        <v>73</v>
      </c>
    </row>
    <row r="1456" spans="1:47" x14ac:dyDescent="0.3">
      <c r="A1456" t="s">
        <v>2830</v>
      </c>
      <c r="B1456" t="s">
        <v>48</v>
      </c>
      <c r="C1456" t="s">
        <v>48</v>
      </c>
      <c r="D1456">
        <v>101019</v>
      </c>
      <c r="E1456" t="s">
        <v>2831</v>
      </c>
      <c r="F1456" t="s">
        <v>2832</v>
      </c>
      <c r="G1456" t="s">
        <v>2833</v>
      </c>
      <c r="H1456" t="s">
        <v>2865</v>
      </c>
      <c r="I1456" t="s">
        <v>54</v>
      </c>
      <c r="J1456" t="s">
        <v>2866</v>
      </c>
      <c r="K1456" t="s">
        <v>56</v>
      </c>
      <c r="L1456">
        <v>0</v>
      </c>
      <c r="M1456" t="s">
        <v>73</v>
      </c>
      <c r="N1456">
        <v>0</v>
      </c>
      <c r="O1456" t="s">
        <v>58</v>
      </c>
      <c r="P1456" t="s">
        <v>59</v>
      </c>
      <c r="Q1456" t="s">
        <v>460</v>
      </c>
      <c r="R1456" t="s">
        <v>2866</v>
      </c>
      <c r="S1456" s="1">
        <v>44446</v>
      </c>
      <c r="T1456" s="1">
        <v>44449</v>
      </c>
      <c r="U1456">
        <v>37501</v>
      </c>
      <c r="V1456" t="s">
        <v>61</v>
      </c>
      <c r="W1456" t="s">
        <v>2867</v>
      </c>
      <c r="X1456" s="1">
        <v>44452</v>
      </c>
      <c r="Y1456" t="s">
        <v>100</v>
      </c>
      <c r="Z1456">
        <v>585.09</v>
      </c>
      <c r="AA1456">
        <v>16</v>
      </c>
      <c r="AB1456">
        <v>93.61</v>
      </c>
      <c r="AC1456">
        <v>0</v>
      </c>
      <c r="AD1456">
        <v>678.7</v>
      </c>
      <c r="AE1456">
        <v>6834.76</v>
      </c>
      <c r="AF1456">
        <v>7241</v>
      </c>
      <c r="AG1456" t="s">
        <v>2837</v>
      </c>
      <c r="AH1456" t="s">
        <v>65</v>
      </c>
      <c r="AI1456" t="s">
        <v>65</v>
      </c>
      <c r="AJ1456" t="s">
        <v>66</v>
      </c>
      <c r="AK1456" t="s">
        <v>66</v>
      </c>
      <c r="AL1456" t="s">
        <v>66</v>
      </c>
      <c r="AM1456" s="2" t="str">
        <f>HYPERLINK("https://transparencia.cidesi.mx/comprobantes/2021/CQ2100793 /C4A12966_SBR991021NXA_PDF.pdf")</f>
        <v>https://transparencia.cidesi.mx/comprobantes/2021/CQ2100793 /C4A12966_SBR991021NXA_PDF.pdf</v>
      </c>
      <c r="AN1456" t="str">
        <f>HYPERLINK("https://transparencia.cidesi.mx/comprobantes/2021/CQ2100793 /C4A12966_SBR991021NXA_PDF.pdf")</f>
        <v>https://transparencia.cidesi.mx/comprobantes/2021/CQ2100793 /C4A12966_SBR991021NXA_PDF.pdf</v>
      </c>
      <c r="AO1456" t="str">
        <f>HYPERLINK("https://transparencia.cidesi.mx/comprobantes/2021/CQ2100793 /C4A12966_SBR991021NXA_XML.xml")</f>
        <v>https://transparencia.cidesi.mx/comprobantes/2021/CQ2100793 /C4A12966_SBR991021NXA_XML.xml</v>
      </c>
      <c r="AP1456" t="s">
        <v>2868</v>
      </c>
      <c r="AQ1456" t="s">
        <v>2869</v>
      </c>
      <c r="AR1456" t="s">
        <v>2870</v>
      </c>
      <c r="AS1456" t="s">
        <v>2871</v>
      </c>
      <c r="AT1456" s="1">
        <v>44453</v>
      </c>
      <c r="AU1456" t="s">
        <v>73</v>
      </c>
    </row>
    <row r="1457" spans="1:47" x14ac:dyDescent="0.3">
      <c r="A1457" t="s">
        <v>2830</v>
      </c>
      <c r="B1457" t="s">
        <v>48</v>
      </c>
      <c r="C1457" t="s">
        <v>48</v>
      </c>
      <c r="D1457">
        <v>101019</v>
      </c>
      <c r="E1457" t="s">
        <v>2831</v>
      </c>
      <c r="F1457" t="s">
        <v>2832</v>
      </c>
      <c r="G1457" t="s">
        <v>2833</v>
      </c>
      <c r="H1457" t="s">
        <v>2865</v>
      </c>
      <c r="I1457" t="s">
        <v>54</v>
      </c>
      <c r="J1457" t="s">
        <v>2866</v>
      </c>
      <c r="K1457" t="s">
        <v>56</v>
      </c>
      <c r="L1457">
        <v>0</v>
      </c>
      <c r="M1457" t="s">
        <v>73</v>
      </c>
      <c r="N1457">
        <v>0</v>
      </c>
      <c r="O1457" t="s">
        <v>58</v>
      </c>
      <c r="P1457" t="s">
        <v>59</v>
      </c>
      <c r="Q1457" t="s">
        <v>460</v>
      </c>
      <c r="R1457" t="s">
        <v>2866</v>
      </c>
      <c r="S1457" s="1">
        <v>44446</v>
      </c>
      <c r="T1457" s="1">
        <v>44449</v>
      </c>
      <c r="U1457">
        <v>37501</v>
      </c>
      <c r="V1457" t="s">
        <v>61</v>
      </c>
      <c r="W1457" t="s">
        <v>2867</v>
      </c>
      <c r="X1457" s="1">
        <v>44452</v>
      </c>
      <c r="Y1457" t="s">
        <v>100</v>
      </c>
      <c r="Z1457">
        <v>184.48</v>
      </c>
      <c r="AA1457">
        <v>16</v>
      </c>
      <c r="AB1457">
        <v>29.52</v>
      </c>
      <c r="AC1457">
        <v>0</v>
      </c>
      <c r="AD1457">
        <v>214</v>
      </c>
      <c r="AE1457">
        <v>6834.76</v>
      </c>
      <c r="AF1457">
        <v>7241</v>
      </c>
      <c r="AG1457" t="s">
        <v>2837</v>
      </c>
      <c r="AH1457" t="s">
        <v>65</v>
      </c>
      <c r="AI1457" t="s">
        <v>65</v>
      </c>
      <c r="AJ1457" t="s">
        <v>66</v>
      </c>
      <c r="AK1457" t="s">
        <v>66</v>
      </c>
      <c r="AL1457" t="s">
        <v>66</v>
      </c>
      <c r="AM1457" s="2" t="str">
        <f>HYPERLINK("https://transparencia.cidesi.mx/comprobantes/2021/CQ2100793 /C5SCTHA806374_CSI020226MV4_PDF.pdf")</f>
        <v>https://transparencia.cidesi.mx/comprobantes/2021/CQ2100793 /C5SCTHA806374_CSI020226MV4_PDF.pdf</v>
      </c>
      <c r="AN1457" t="str">
        <f>HYPERLINK("https://transparencia.cidesi.mx/comprobantes/2021/CQ2100793 /C5SCTHA806374_CSI020226MV4_PDF.pdf")</f>
        <v>https://transparencia.cidesi.mx/comprobantes/2021/CQ2100793 /C5SCTHA806374_CSI020226MV4_PDF.pdf</v>
      </c>
      <c r="AO1457" t="str">
        <f>HYPERLINK("https://transparencia.cidesi.mx/comprobantes/2021/CQ2100793 /C5SCTHA806374_CSI020226MV4_XML.xml")</f>
        <v>https://transparencia.cidesi.mx/comprobantes/2021/CQ2100793 /C5SCTHA806374_CSI020226MV4_XML.xml</v>
      </c>
      <c r="AP1457" t="s">
        <v>2868</v>
      </c>
      <c r="AQ1457" t="s">
        <v>2869</v>
      </c>
      <c r="AR1457" t="s">
        <v>2870</v>
      </c>
      <c r="AS1457" t="s">
        <v>2871</v>
      </c>
      <c r="AT1457" s="1">
        <v>44453</v>
      </c>
      <c r="AU1457" t="s">
        <v>73</v>
      </c>
    </row>
    <row r="1458" spans="1:47" x14ac:dyDescent="0.3">
      <c r="A1458" t="s">
        <v>2830</v>
      </c>
      <c r="B1458" t="s">
        <v>48</v>
      </c>
      <c r="C1458" t="s">
        <v>48</v>
      </c>
      <c r="D1458">
        <v>101019</v>
      </c>
      <c r="E1458" t="s">
        <v>2831</v>
      </c>
      <c r="F1458" t="s">
        <v>2832</v>
      </c>
      <c r="G1458" t="s">
        <v>2833</v>
      </c>
      <c r="H1458" t="s">
        <v>2865</v>
      </c>
      <c r="I1458" t="s">
        <v>54</v>
      </c>
      <c r="J1458" t="s">
        <v>2866</v>
      </c>
      <c r="K1458" t="s">
        <v>56</v>
      </c>
      <c r="L1458">
        <v>0</v>
      </c>
      <c r="M1458" t="s">
        <v>73</v>
      </c>
      <c r="N1458">
        <v>0</v>
      </c>
      <c r="O1458" t="s">
        <v>58</v>
      </c>
      <c r="P1458" t="s">
        <v>59</v>
      </c>
      <c r="Q1458" t="s">
        <v>460</v>
      </c>
      <c r="R1458" t="s">
        <v>2866</v>
      </c>
      <c r="S1458" s="1">
        <v>44446</v>
      </c>
      <c r="T1458" s="1">
        <v>44449</v>
      </c>
      <c r="U1458">
        <v>37501</v>
      </c>
      <c r="V1458" t="s">
        <v>104</v>
      </c>
      <c r="W1458" t="s">
        <v>2867</v>
      </c>
      <c r="X1458" s="1">
        <v>44452</v>
      </c>
      <c r="Y1458" t="s">
        <v>100</v>
      </c>
      <c r="Z1458">
        <v>1299.44</v>
      </c>
      <c r="AA1458">
        <v>16</v>
      </c>
      <c r="AB1458">
        <v>200.88</v>
      </c>
      <c r="AC1458">
        <v>0</v>
      </c>
      <c r="AD1458">
        <v>1500.32</v>
      </c>
      <c r="AE1458">
        <v>6834.76</v>
      </c>
      <c r="AF1458">
        <v>7241</v>
      </c>
      <c r="AG1458" t="s">
        <v>2852</v>
      </c>
      <c r="AH1458" t="s">
        <v>65</v>
      </c>
      <c r="AI1458" t="s">
        <v>65</v>
      </c>
      <c r="AJ1458" t="s">
        <v>66</v>
      </c>
      <c r="AK1458" t="s">
        <v>66</v>
      </c>
      <c r="AL1458" t="s">
        <v>66</v>
      </c>
      <c r="AM1458" s="2" t="str">
        <f>HYPERLINK("https://transparencia.cidesi.mx/comprobantes/2021/CQ2100793 /C6ECMA137926_SCC171019SQ7_PDF.pdf")</f>
        <v>https://transparencia.cidesi.mx/comprobantes/2021/CQ2100793 /C6ECMA137926_SCC171019SQ7_PDF.pdf</v>
      </c>
      <c r="AN1458" t="str">
        <f>HYPERLINK("https://transparencia.cidesi.mx/comprobantes/2021/CQ2100793 /C6ECMA137926_SCC171019SQ7_PDF.pdf")</f>
        <v>https://transparencia.cidesi.mx/comprobantes/2021/CQ2100793 /C6ECMA137926_SCC171019SQ7_PDF.pdf</v>
      </c>
      <c r="AO1458" t="str">
        <f>HYPERLINK("https://transparencia.cidesi.mx/comprobantes/2021/CQ2100793 /C6ECMA137926_SCC171019SQ7_XML.xml")</f>
        <v>https://transparencia.cidesi.mx/comprobantes/2021/CQ2100793 /C6ECMA137926_SCC171019SQ7_XML.xml</v>
      </c>
      <c r="AP1458" t="s">
        <v>2868</v>
      </c>
      <c r="AQ1458" t="s">
        <v>2869</v>
      </c>
      <c r="AR1458" t="s">
        <v>2870</v>
      </c>
      <c r="AS1458" t="s">
        <v>2871</v>
      </c>
      <c r="AT1458" s="1">
        <v>44453</v>
      </c>
      <c r="AU1458" t="s">
        <v>73</v>
      </c>
    </row>
    <row r="1459" spans="1:47" x14ac:dyDescent="0.3">
      <c r="A1459" t="s">
        <v>2830</v>
      </c>
      <c r="B1459" t="s">
        <v>48</v>
      </c>
      <c r="C1459" t="s">
        <v>48</v>
      </c>
      <c r="D1459">
        <v>101019</v>
      </c>
      <c r="E1459" t="s">
        <v>2831</v>
      </c>
      <c r="F1459" t="s">
        <v>2832</v>
      </c>
      <c r="G1459" t="s">
        <v>2833</v>
      </c>
      <c r="H1459" t="s">
        <v>2865</v>
      </c>
      <c r="I1459" t="s">
        <v>54</v>
      </c>
      <c r="J1459" t="s">
        <v>2866</v>
      </c>
      <c r="K1459" t="s">
        <v>56</v>
      </c>
      <c r="L1459">
        <v>0</v>
      </c>
      <c r="M1459" t="s">
        <v>73</v>
      </c>
      <c r="N1459">
        <v>0</v>
      </c>
      <c r="O1459" t="s">
        <v>58</v>
      </c>
      <c r="P1459" t="s">
        <v>59</v>
      </c>
      <c r="Q1459" t="s">
        <v>460</v>
      </c>
      <c r="R1459" t="s">
        <v>2866</v>
      </c>
      <c r="S1459" s="1">
        <v>44446</v>
      </c>
      <c r="T1459" s="1">
        <v>44449</v>
      </c>
      <c r="U1459">
        <v>37501</v>
      </c>
      <c r="V1459" t="s">
        <v>104</v>
      </c>
      <c r="W1459" t="s">
        <v>2867</v>
      </c>
      <c r="X1459" s="1">
        <v>44452</v>
      </c>
      <c r="Y1459" t="s">
        <v>100</v>
      </c>
      <c r="Z1459">
        <v>2054.69</v>
      </c>
      <c r="AA1459">
        <v>16</v>
      </c>
      <c r="AB1459">
        <v>322.3</v>
      </c>
      <c r="AC1459">
        <v>0</v>
      </c>
      <c r="AD1459">
        <v>2376.9899999999998</v>
      </c>
      <c r="AE1459">
        <v>6834.76</v>
      </c>
      <c r="AF1459">
        <v>7241</v>
      </c>
      <c r="AG1459" t="s">
        <v>2852</v>
      </c>
      <c r="AH1459" t="s">
        <v>65</v>
      </c>
      <c r="AI1459" t="s">
        <v>65</v>
      </c>
      <c r="AJ1459" t="s">
        <v>66</v>
      </c>
      <c r="AK1459" t="s">
        <v>66</v>
      </c>
      <c r="AL1459" t="s">
        <v>66</v>
      </c>
      <c r="AM1459" s="2" t="str">
        <f>HYPERLINK("https://transparencia.cidesi.mx/comprobantes/2021/CQ2100793 /C7A33-117_HSC140730SU4_PDF.pdf")</f>
        <v>https://transparencia.cidesi.mx/comprobantes/2021/CQ2100793 /C7A33-117_HSC140730SU4_PDF.pdf</v>
      </c>
      <c r="AN1459" t="str">
        <f>HYPERLINK("https://transparencia.cidesi.mx/comprobantes/2021/CQ2100793 /C7A33-117_HSC140730SU4_PDF.pdf")</f>
        <v>https://transparencia.cidesi.mx/comprobantes/2021/CQ2100793 /C7A33-117_HSC140730SU4_PDF.pdf</v>
      </c>
      <c r="AO1459" t="str">
        <f>HYPERLINK("https://transparencia.cidesi.mx/comprobantes/2021/CQ2100793 /C7A33-117_HSC140730SU4_XML.xml")</f>
        <v>https://transparencia.cidesi.mx/comprobantes/2021/CQ2100793 /C7A33-117_HSC140730SU4_XML.xml</v>
      </c>
      <c r="AP1459" t="s">
        <v>2868</v>
      </c>
      <c r="AQ1459" t="s">
        <v>2869</v>
      </c>
      <c r="AR1459" t="s">
        <v>2870</v>
      </c>
      <c r="AS1459" t="s">
        <v>2871</v>
      </c>
      <c r="AT1459" s="1">
        <v>44453</v>
      </c>
      <c r="AU1459" t="s">
        <v>73</v>
      </c>
    </row>
    <row r="1460" spans="1:47" x14ac:dyDescent="0.3">
      <c r="A1460" t="s">
        <v>2830</v>
      </c>
      <c r="B1460" t="s">
        <v>48</v>
      </c>
      <c r="C1460" t="s">
        <v>48</v>
      </c>
      <c r="D1460">
        <v>101019</v>
      </c>
      <c r="E1460" t="s">
        <v>2831</v>
      </c>
      <c r="F1460" t="s">
        <v>2832</v>
      </c>
      <c r="G1460" t="s">
        <v>2833</v>
      </c>
      <c r="H1460" t="s">
        <v>2865</v>
      </c>
      <c r="I1460" t="s">
        <v>54</v>
      </c>
      <c r="J1460" t="s">
        <v>2866</v>
      </c>
      <c r="K1460" t="s">
        <v>56</v>
      </c>
      <c r="L1460">
        <v>0</v>
      </c>
      <c r="M1460" t="s">
        <v>73</v>
      </c>
      <c r="N1460">
        <v>0</v>
      </c>
      <c r="O1460" t="s">
        <v>58</v>
      </c>
      <c r="P1460" t="s">
        <v>59</v>
      </c>
      <c r="Q1460" t="s">
        <v>460</v>
      </c>
      <c r="R1460" t="s">
        <v>2866</v>
      </c>
      <c r="S1460" s="1">
        <v>44446</v>
      </c>
      <c r="T1460" s="1">
        <v>44449</v>
      </c>
      <c r="U1460">
        <v>37501</v>
      </c>
      <c r="V1460" t="s">
        <v>61</v>
      </c>
      <c r="W1460" t="s">
        <v>2867</v>
      </c>
      <c r="X1460" s="1">
        <v>44452</v>
      </c>
      <c r="Y1460" t="s">
        <v>100</v>
      </c>
      <c r="Z1460">
        <v>112.07</v>
      </c>
      <c r="AA1460">
        <v>16</v>
      </c>
      <c r="AB1460">
        <v>17.93</v>
      </c>
      <c r="AC1460">
        <v>0</v>
      </c>
      <c r="AD1460">
        <v>130</v>
      </c>
      <c r="AE1460">
        <v>6834.76</v>
      </c>
      <c r="AF1460">
        <v>7241</v>
      </c>
      <c r="AG1460" t="s">
        <v>2837</v>
      </c>
      <c r="AH1460" t="s">
        <v>65</v>
      </c>
      <c r="AI1460" t="s">
        <v>65</v>
      </c>
      <c r="AJ1460" t="s">
        <v>66</v>
      </c>
      <c r="AK1460" t="s">
        <v>66</v>
      </c>
      <c r="AL1460" t="s">
        <v>66</v>
      </c>
      <c r="AM1460" s="2" t="str">
        <f>HYPERLINK("https://transparencia.cidesi.mx/comprobantes/2021/CQ2100793 /C8C33-10_HSC140730SU4_PDF.pdf")</f>
        <v>https://transparencia.cidesi.mx/comprobantes/2021/CQ2100793 /C8C33-10_HSC140730SU4_PDF.pdf</v>
      </c>
      <c r="AN1460" t="str">
        <f>HYPERLINK("https://transparencia.cidesi.mx/comprobantes/2021/CQ2100793 /C8C33-10_HSC140730SU4_PDF.pdf")</f>
        <v>https://transparencia.cidesi.mx/comprobantes/2021/CQ2100793 /C8C33-10_HSC140730SU4_PDF.pdf</v>
      </c>
      <c r="AO1460" t="str">
        <f>HYPERLINK("https://transparencia.cidesi.mx/comprobantes/2021/CQ2100793 /C8C33-10_HSC140730SU4_XML.xml")</f>
        <v>https://transparencia.cidesi.mx/comprobantes/2021/CQ2100793 /C8C33-10_HSC140730SU4_XML.xml</v>
      </c>
      <c r="AP1460" t="s">
        <v>2868</v>
      </c>
      <c r="AQ1460" t="s">
        <v>2869</v>
      </c>
      <c r="AR1460" t="s">
        <v>2870</v>
      </c>
      <c r="AS1460" t="s">
        <v>2871</v>
      </c>
      <c r="AT1460" s="1">
        <v>44453</v>
      </c>
      <c r="AU1460" t="s">
        <v>73</v>
      </c>
    </row>
    <row r="1461" spans="1:47" x14ac:dyDescent="0.3">
      <c r="A1461" t="s">
        <v>2830</v>
      </c>
      <c r="B1461" t="s">
        <v>48</v>
      </c>
      <c r="C1461" t="s">
        <v>48</v>
      </c>
      <c r="D1461">
        <v>101019</v>
      </c>
      <c r="E1461" t="s">
        <v>2831</v>
      </c>
      <c r="F1461" t="s">
        <v>2832</v>
      </c>
      <c r="G1461" t="s">
        <v>2833</v>
      </c>
      <c r="H1461" t="s">
        <v>2872</v>
      </c>
      <c r="I1461" t="s">
        <v>54</v>
      </c>
      <c r="J1461" t="s">
        <v>2866</v>
      </c>
      <c r="K1461" t="s">
        <v>56</v>
      </c>
      <c r="L1461">
        <v>0</v>
      </c>
      <c r="M1461" t="s">
        <v>73</v>
      </c>
      <c r="N1461">
        <v>0</v>
      </c>
      <c r="O1461" t="s">
        <v>58</v>
      </c>
      <c r="P1461" t="s">
        <v>59</v>
      </c>
      <c r="Q1461" t="s">
        <v>189</v>
      </c>
      <c r="R1461" t="s">
        <v>2866</v>
      </c>
      <c r="S1461" s="1">
        <v>44447</v>
      </c>
      <c r="T1461" s="1">
        <v>44447</v>
      </c>
      <c r="U1461">
        <v>37104</v>
      </c>
      <c r="V1461" t="s">
        <v>471</v>
      </c>
      <c r="W1461" t="s">
        <v>2873</v>
      </c>
      <c r="X1461" s="1">
        <v>44442</v>
      </c>
      <c r="Y1461" t="s">
        <v>63</v>
      </c>
      <c r="Z1461">
        <v>4169.34</v>
      </c>
      <c r="AA1461">
        <v>16</v>
      </c>
      <c r="AB1461">
        <v>521.66</v>
      </c>
      <c r="AC1461">
        <v>0</v>
      </c>
      <c r="AD1461">
        <v>4691</v>
      </c>
      <c r="AE1461">
        <v>4691</v>
      </c>
      <c r="AF1461">
        <v>7000</v>
      </c>
      <c r="AG1461" t="s">
        <v>2843</v>
      </c>
      <c r="AH1461" t="s">
        <v>66</v>
      </c>
      <c r="AI1461" t="s">
        <v>65</v>
      </c>
      <c r="AJ1461" t="s">
        <v>66</v>
      </c>
      <c r="AK1461" t="s">
        <v>66</v>
      </c>
      <c r="AL1461" t="s">
        <v>66</v>
      </c>
      <c r="AM1461" s="2" t="str">
        <f>HYPERLINK("https://transparencia.cidesi.mx/comprobantes/2021/CAQ210034 /C1F-1392124018046_AME880912189.pdf")</f>
        <v>https://transparencia.cidesi.mx/comprobantes/2021/CAQ210034 /C1F-1392124018046_AME880912189.pdf</v>
      </c>
      <c r="AN1461" t="str">
        <f>HYPERLINK("https://transparencia.cidesi.mx/comprobantes/2021/CAQ210034 /C1F-1392124018046_AME880912189.pdf")</f>
        <v>https://transparencia.cidesi.mx/comprobantes/2021/CAQ210034 /C1F-1392124018046_AME880912189.pdf</v>
      </c>
      <c r="AO1461" t="str">
        <f>HYPERLINK("https://transparencia.cidesi.mx/comprobantes/2021/CAQ210034 /C1F-1392124018046_AME880912189.xml")</f>
        <v>https://transparencia.cidesi.mx/comprobantes/2021/CAQ210034 /C1F-1392124018046_AME880912189.xml</v>
      </c>
      <c r="AP1461" t="s">
        <v>2868</v>
      </c>
      <c r="AQ1461" t="s">
        <v>2874</v>
      </c>
      <c r="AR1461" t="s">
        <v>2875</v>
      </c>
      <c r="AS1461" t="s">
        <v>2871</v>
      </c>
      <c r="AT1461" s="1">
        <v>44442</v>
      </c>
      <c r="AU1461" s="1">
        <v>44452</v>
      </c>
    </row>
    <row r="1462" spans="1:47" x14ac:dyDescent="0.3">
      <c r="A1462" t="s">
        <v>2830</v>
      </c>
      <c r="B1462" t="s">
        <v>48</v>
      </c>
      <c r="C1462" t="s">
        <v>48</v>
      </c>
      <c r="D1462">
        <v>101019</v>
      </c>
      <c r="E1462" t="s">
        <v>2831</v>
      </c>
      <c r="F1462" t="s">
        <v>2832</v>
      </c>
      <c r="G1462" t="s">
        <v>2833</v>
      </c>
      <c r="H1462" t="s">
        <v>2876</v>
      </c>
      <c r="I1462" t="s">
        <v>54</v>
      </c>
      <c r="J1462" t="s">
        <v>2877</v>
      </c>
      <c r="K1462" t="s">
        <v>56</v>
      </c>
      <c r="L1462">
        <v>0</v>
      </c>
      <c r="M1462" t="s">
        <v>73</v>
      </c>
      <c r="N1462">
        <v>0</v>
      </c>
      <c r="O1462" t="s">
        <v>58</v>
      </c>
      <c r="P1462" t="s">
        <v>59</v>
      </c>
      <c r="Q1462" t="s">
        <v>108</v>
      </c>
      <c r="R1462" t="s">
        <v>2877</v>
      </c>
      <c r="S1462" s="1">
        <v>44462</v>
      </c>
      <c r="T1462" s="1">
        <v>44463</v>
      </c>
      <c r="U1462">
        <v>37501</v>
      </c>
      <c r="V1462" t="s">
        <v>104</v>
      </c>
      <c r="W1462" t="s">
        <v>2878</v>
      </c>
      <c r="X1462" s="1">
        <v>44467</v>
      </c>
      <c r="Y1462" t="s">
        <v>63</v>
      </c>
      <c r="Z1462">
        <v>1014.16</v>
      </c>
      <c r="AA1462">
        <v>16</v>
      </c>
      <c r="AB1462">
        <v>156.02000000000001</v>
      </c>
      <c r="AC1462">
        <v>0</v>
      </c>
      <c r="AD1462">
        <v>1170.18</v>
      </c>
      <c r="AE1462">
        <v>2196.38</v>
      </c>
      <c r="AF1462">
        <v>3103</v>
      </c>
      <c r="AG1462" t="s">
        <v>2852</v>
      </c>
      <c r="AH1462" t="s">
        <v>65</v>
      </c>
      <c r="AI1462" t="s">
        <v>65</v>
      </c>
      <c r="AJ1462" t="s">
        <v>66</v>
      </c>
      <c r="AK1462" t="s">
        <v>66</v>
      </c>
      <c r="AL1462" t="s">
        <v>66</v>
      </c>
      <c r="AM1462" s="2" t="str">
        <f>HYPERLINK("https://transparencia.cidesi.mx/comprobantes/2021/CQ2100901 /C169569_FFX121005C6A_PDF.pdf")</f>
        <v>https://transparencia.cidesi.mx/comprobantes/2021/CQ2100901 /C169569_FFX121005C6A_PDF.pdf</v>
      </c>
      <c r="AN1462" t="str">
        <f>HYPERLINK("https://transparencia.cidesi.mx/comprobantes/2021/CQ2100901 /C169569_FFX121005C6A_PDF.pdf")</f>
        <v>https://transparencia.cidesi.mx/comprobantes/2021/CQ2100901 /C169569_FFX121005C6A_PDF.pdf</v>
      </c>
      <c r="AO1462" t="str">
        <f>HYPERLINK("https://transparencia.cidesi.mx/comprobantes/2021/CQ2100901 /C169569_FFX121005C6A_XML.xml")</f>
        <v>https://transparencia.cidesi.mx/comprobantes/2021/CQ2100901 /C169569_FFX121005C6A_XML.xml</v>
      </c>
      <c r="AP1462" t="s">
        <v>2879</v>
      </c>
      <c r="AQ1462" t="s">
        <v>2880</v>
      </c>
      <c r="AR1462" t="s">
        <v>2881</v>
      </c>
      <c r="AS1462" t="s">
        <v>2882</v>
      </c>
      <c r="AT1462" s="1">
        <v>44469</v>
      </c>
      <c r="AU1462" s="1">
        <v>44476</v>
      </c>
    </row>
    <row r="1463" spans="1:47" x14ac:dyDescent="0.3">
      <c r="A1463" t="s">
        <v>2830</v>
      </c>
      <c r="B1463" t="s">
        <v>48</v>
      </c>
      <c r="C1463" t="s">
        <v>48</v>
      </c>
      <c r="D1463">
        <v>101019</v>
      </c>
      <c r="E1463" t="s">
        <v>2831</v>
      </c>
      <c r="F1463" t="s">
        <v>2832</v>
      </c>
      <c r="G1463" t="s">
        <v>2833</v>
      </c>
      <c r="H1463" t="s">
        <v>2876</v>
      </c>
      <c r="I1463" t="s">
        <v>54</v>
      </c>
      <c r="J1463" t="s">
        <v>2877</v>
      </c>
      <c r="K1463" t="s">
        <v>56</v>
      </c>
      <c r="L1463">
        <v>0</v>
      </c>
      <c r="M1463" t="s">
        <v>73</v>
      </c>
      <c r="N1463">
        <v>0</v>
      </c>
      <c r="O1463" t="s">
        <v>58</v>
      </c>
      <c r="P1463" t="s">
        <v>59</v>
      </c>
      <c r="Q1463" t="s">
        <v>108</v>
      </c>
      <c r="R1463" t="s">
        <v>2877</v>
      </c>
      <c r="S1463" s="1">
        <v>44462</v>
      </c>
      <c r="T1463" s="1">
        <v>44463</v>
      </c>
      <c r="U1463">
        <v>37501</v>
      </c>
      <c r="V1463" t="s">
        <v>61</v>
      </c>
      <c r="W1463" t="s">
        <v>2878</v>
      </c>
      <c r="X1463" s="1">
        <v>44467</v>
      </c>
      <c r="Y1463" t="s">
        <v>63</v>
      </c>
      <c r="Z1463">
        <v>353.02</v>
      </c>
      <c r="AA1463">
        <v>16</v>
      </c>
      <c r="AB1463">
        <v>56.48</v>
      </c>
      <c r="AC1463">
        <v>40.950000000000003</v>
      </c>
      <c r="AD1463">
        <v>450.45</v>
      </c>
      <c r="AE1463">
        <v>2196.38</v>
      </c>
      <c r="AF1463">
        <v>3103</v>
      </c>
      <c r="AG1463" t="s">
        <v>2837</v>
      </c>
      <c r="AH1463" t="s">
        <v>65</v>
      </c>
      <c r="AI1463" t="s">
        <v>65</v>
      </c>
      <c r="AJ1463" t="s">
        <v>66</v>
      </c>
      <c r="AK1463" t="s">
        <v>66</v>
      </c>
      <c r="AL1463" t="s">
        <v>66</v>
      </c>
      <c r="AM1463" s="2" t="str">
        <f>HYPERLINK("https://transparencia.cidesi.mx/comprobantes/2021/CQ2100901 /C3QR92902_FTR080421DX5_PDF.pdf")</f>
        <v>https://transparencia.cidesi.mx/comprobantes/2021/CQ2100901 /C3QR92902_FTR080421DX5_PDF.pdf</v>
      </c>
      <c r="AN1463" t="str">
        <f>HYPERLINK("https://transparencia.cidesi.mx/comprobantes/2021/CQ2100901 /C3QR92902_FTR080421DX5_PDF.pdf")</f>
        <v>https://transparencia.cidesi.mx/comprobantes/2021/CQ2100901 /C3QR92902_FTR080421DX5_PDF.pdf</v>
      </c>
      <c r="AO1463" t="str">
        <f>HYPERLINK("https://transparencia.cidesi.mx/comprobantes/2021/CQ2100901 /C3QR92902_FTR080421DX5_XML.xml")</f>
        <v>https://transparencia.cidesi.mx/comprobantes/2021/CQ2100901 /C3QR92902_FTR080421DX5_XML.xml</v>
      </c>
      <c r="AP1463" t="s">
        <v>2879</v>
      </c>
      <c r="AQ1463" t="s">
        <v>2880</v>
      </c>
      <c r="AR1463" t="s">
        <v>2881</v>
      </c>
      <c r="AS1463" t="s">
        <v>2882</v>
      </c>
      <c r="AT1463" s="1">
        <v>44469</v>
      </c>
      <c r="AU1463" s="1">
        <v>44476</v>
      </c>
    </row>
    <row r="1464" spans="1:47" x14ac:dyDescent="0.3">
      <c r="A1464" t="s">
        <v>2830</v>
      </c>
      <c r="B1464" t="s">
        <v>48</v>
      </c>
      <c r="C1464" t="s">
        <v>48</v>
      </c>
      <c r="D1464">
        <v>101019</v>
      </c>
      <c r="E1464" t="s">
        <v>2831</v>
      </c>
      <c r="F1464" t="s">
        <v>2832</v>
      </c>
      <c r="G1464" t="s">
        <v>2833</v>
      </c>
      <c r="H1464" t="s">
        <v>2876</v>
      </c>
      <c r="I1464" t="s">
        <v>54</v>
      </c>
      <c r="J1464" t="s">
        <v>2877</v>
      </c>
      <c r="K1464" t="s">
        <v>56</v>
      </c>
      <c r="L1464">
        <v>0</v>
      </c>
      <c r="M1464" t="s">
        <v>73</v>
      </c>
      <c r="N1464">
        <v>0</v>
      </c>
      <c r="O1464" t="s">
        <v>58</v>
      </c>
      <c r="P1464" t="s">
        <v>59</v>
      </c>
      <c r="Q1464" t="s">
        <v>108</v>
      </c>
      <c r="R1464" t="s">
        <v>2877</v>
      </c>
      <c r="S1464" s="1">
        <v>44462</v>
      </c>
      <c r="T1464" s="1">
        <v>44463</v>
      </c>
      <c r="U1464">
        <v>37501</v>
      </c>
      <c r="V1464" t="s">
        <v>61</v>
      </c>
      <c r="W1464" t="s">
        <v>2878</v>
      </c>
      <c r="X1464" s="1">
        <v>44467</v>
      </c>
      <c r="Y1464" t="s">
        <v>63</v>
      </c>
      <c r="Z1464">
        <v>346.98</v>
      </c>
      <c r="AA1464">
        <v>16</v>
      </c>
      <c r="AB1464">
        <v>55.52</v>
      </c>
      <c r="AC1464">
        <v>40.25</v>
      </c>
      <c r="AD1464">
        <v>442.75</v>
      </c>
      <c r="AE1464">
        <v>2196.38</v>
      </c>
      <c r="AF1464">
        <v>3103</v>
      </c>
      <c r="AG1464" t="s">
        <v>2837</v>
      </c>
      <c r="AH1464" t="s">
        <v>65</v>
      </c>
      <c r="AI1464" t="s">
        <v>65</v>
      </c>
      <c r="AJ1464" t="s">
        <v>66</v>
      </c>
      <c r="AK1464" t="s">
        <v>66</v>
      </c>
      <c r="AL1464" t="s">
        <v>66</v>
      </c>
      <c r="AM1464" s="2" t="str">
        <f>HYPERLINK("https://transparencia.cidesi.mx/comprobantes/2021/CQ2100901 /C4CHICTOAACI30837_GAS910208GP3_PDF.pdf")</f>
        <v>https://transparencia.cidesi.mx/comprobantes/2021/CQ2100901 /C4CHICTOAACI30837_GAS910208GP3_PDF.pdf</v>
      </c>
      <c r="AN1464" t="str">
        <f>HYPERLINK("https://transparencia.cidesi.mx/comprobantes/2021/CQ2100901 /C4CHICTOAACI30837_GAS910208GP3_PDF.pdf")</f>
        <v>https://transparencia.cidesi.mx/comprobantes/2021/CQ2100901 /C4CHICTOAACI30837_GAS910208GP3_PDF.pdf</v>
      </c>
      <c r="AO1464" t="str">
        <f>HYPERLINK("https://transparencia.cidesi.mx/comprobantes/2021/CQ2100901 /C4CHICTOAACI30837_GAS910208GP3_XML.xml")</f>
        <v>https://transparencia.cidesi.mx/comprobantes/2021/CQ2100901 /C4CHICTOAACI30837_GAS910208GP3_XML.xml</v>
      </c>
      <c r="AP1464" t="s">
        <v>2879</v>
      </c>
      <c r="AQ1464" t="s">
        <v>2880</v>
      </c>
      <c r="AR1464" t="s">
        <v>2881</v>
      </c>
      <c r="AS1464" t="s">
        <v>2882</v>
      </c>
      <c r="AT1464" s="1">
        <v>44469</v>
      </c>
      <c r="AU1464" s="1">
        <v>44476</v>
      </c>
    </row>
    <row r="1465" spans="1:47" x14ac:dyDescent="0.3">
      <c r="A1465" t="s">
        <v>2830</v>
      </c>
      <c r="B1465" t="s">
        <v>48</v>
      </c>
      <c r="C1465" t="s">
        <v>48</v>
      </c>
      <c r="D1465">
        <v>101019</v>
      </c>
      <c r="E1465" t="s">
        <v>2831</v>
      </c>
      <c r="F1465" t="s">
        <v>2832</v>
      </c>
      <c r="G1465" t="s">
        <v>2833</v>
      </c>
      <c r="H1465" t="s">
        <v>2876</v>
      </c>
      <c r="I1465" t="s">
        <v>54</v>
      </c>
      <c r="J1465" t="s">
        <v>2877</v>
      </c>
      <c r="K1465" t="s">
        <v>56</v>
      </c>
      <c r="L1465">
        <v>0</v>
      </c>
      <c r="M1465" t="s">
        <v>73</v>
      </c>
      <c r="N1465">
        <v>0</v>
      </c>
      <c r="O1465" t="s">
        <v>58</v>
      </c>
      <c r="P1465" t="s">
        <v>59</v>
      </c>
      <c r="Q1465" t="s">
        <v>108</v>
      </c>
      <c r="R1465" t="s">
        <v>2877</v>
      </c>
      <c r="S1465" s="1">
        <v>44462</v>
      </c>
      <c r="T1465" s="1">
        <v>44463</v>
      </c>
      <c r="U1465">
        <v>37501</v>
      </c>
      <c r="V1465" t="s">
        <v>61</v>
      </c>
      <c r="W1465" t="s">
        <v>2878</v>
      </c>
      <c r="X1465" s="1">
        <v>44467</v>
      </c>
      <c r="Y1465" t="s">
        <v>63</v>
      </c>
      <c r="Z1465">
        <v>114.66</v>
      </c>
      <c r="AA1465">
        <v>16</v>
      </c>
      <c r="AB1465">
        <v>18.34</v>
      </c>
      <c r="AC1465">
        <v>0</v>
      </c>
      <c r="AD1465">
        <v>133</v>
      </c>
      <c r="AE1465">
        <v>2196.38</v>
      </c>
      <c r="AF1465">
        <v>3103</v>
      </c>
      <c r="AG1465" t="s">
        <v>2837</v>
      </c>
      <c r="AH1465" t="s">
        <v>65</v>
      </c>
      <c r="AI1465" t="s">
        <v>65</v>
      </c>
      <c r="AJ1465" t="s">
        <v>66</v>
      </c>
      <c r="AK1465" t="s">
        <v>66</v>
      </c>
      <c r="AL1465" t="s">
        <v>66</v>
      </c>
      <c r="AM1465" s="2" t="str">
        <f>HYPERLINK("https://transparencia.cidesi.mx/comprobantes/2021/CQ2100901 /C5SCPAAH72554_CSI020226MV4_PDF.pdf")</f>
        <v>https://transparencia.cidesi.mx/comprobantes/2021/CQ2100901 /C5SCPAAH72554_CSI020226MV4_PDF.pdf</v>
      </c>
      <c r="AN1465" t="str">
        <f>HYPERLINK("https://transparencia.cidesi.mx/comprobantes/2021/CQ2100901 /C5SCPAAH72554_CSI020226MV4_PDF.pdf")</f>
        <v>https://transparencia.cidesi.mx/comprobantes/2021/CQ2100901 /C5SCPAAH72554_CSI020226MV4_PDF.pdf</v>
      </c>
      <c r="AO1465" t="str">
        <f>HYPERLINK("https://transparencia.cidesi.mx/comprobantes/2021/CQ2100901 /C5SCPAAH72554_CSI020226MV4_XML.xml")</f>
        <v>https://transparencia.cidesi.mx/comprobantes/2021/CQ2100901 /C5SCPAAH72554_CSI020226MV4_XML.xml</v>
      </c>
      <c r="AP1465" t="s">
        <v>2879</v>
      </c>
      <c r="AQ1465" t="s">
        <v>2880</v>
      </c>
      <c r="AR1465" t="s">
        <v>2881</v>
      </c>
      <c r="AS1465" t="s">
        <v>2882</v>
      </c>
      <c r="AT1465" s="1">
        <v>44469</v>
      </c>
      <c r="AU1465" s="1">
        <v>44476</v>
      </c>
    </row>
    <row r="1466" spans="1:47" x14ac:dyDescent="0.3">
      <c r="A1466" t="s">
        <v>2830</v>
      </c>
      <c r="B1466" t="s">
        <v>48</v>
      </c>
      <c r="C1466" t="s">
        <v>48</v>
      </c>
      <c r="D1466">
        <v>101019</v>
      </c>
      <c r="E1466" t="s">
        <v>2831</v>
      </c>
      <c r="F1466" t="s">
        <v>2832</v>
      </c>
      <c r="G1466" t="s">
        <v>2833</v>
      </c>
      <c r="H1466" t="s">
        <v>2883</v>
      </c>
      <c r="I1466" t="s">
        <v>54</v>
      </c>
      <c r="J1466" t="s">
        <v>2884</v>
      </c>
      <c r="K1466" t="s">
        <v>56</v>
      </c>
      <c r="L1466">
        <v>0</v>
      </c>
      <c r="M1466" t="s">
        <v>73</v>
      </c>
      <c r="N1466">
        <v>0</v>
      </c>
      <c r="O1466" t="s">
        <v>58</v>
      </c>
      <c r="P1466" t="s">
        <v>59</v>
      </c>
      <c r="Q1466" t="s">
        <v>108</v>
      </c>
      <c r="R1466" t="s">
        <v>2884</v>
      </c>
      <c r="S1466" s="1">
        <v>44468</v>
      </c>
      <c r="T1466" s="1">
        <v>44468</v>
      </c>
      <c r="U1466">
        <v>37501</v>
      </c>
      <c r="V1466" t="s">
        <v>61</v>
      </c>
      <c r="W1466" t="s">
        <v>2885</v>
      </c>
      <c r="X1466" s="1">
        <v>44469</v>
      </c>
      <c r="Y1466" t="s">
        <v>63</v>
      </c>
      <c r="Z1466">
        <v>41</v>
      </c>
      <c r="AA1466">
        <v>0</v>
      </c>
      <c r="AB1466">
        <v>0</v>
      </c>
      <c r="AC1466">
        <v>0</v>
      </c>
      <c r="AD1466">
        <v>41</v>
      </c>
      <c r="AE1466">
        <v>915</v>
      </c>
      <c r="AF1466">
        <v>1034</v>
      </c>
      <c r="AG1466" t="s">
        <v>2837</v>
      </c>
      <c r="AH1466" t="s">
        <v>65</v>
      </c>
      <c r="AI1466" t="s">
        <v>65</v>
      </c>
      <c r="AJ1466" t="s">
        <v>66</v>
      </c>
      <c r="AK1466" t="s">
        <v>66</v>
      </c>
      <c r="AL1466" t="s">
        <v>66</v>
      </c>
      <c r="AM1466" s="2" t="str">
        <f>HYPERLINK("https://transparencia.cidesi.mx/comprobantes/2021/CQ2100919 /C1POR-T - 11995_RPM170315DQ5 _PDF.pdf")</f>
        <v>https://transparencia.cidesi.mx/comprobantes/2021/CQ2100919 /C1POR-T - 11995_RPM170315DQ5 _PDF.pdf</v>
      </c>
      <c r="AN1466" t="str">
        <f>HYPERLINK("https://transparencia.cidesi.mx/comprobantes/2021/CQ2100919 /C1POR-T - 11995_RPM170315DQ5 _PDF.pdf")</f>
        <v>https://transparencia.cidesi.mx/comprobantes/2021/CQ2100919 /C1POR-T - 11995_RPM170315DQ5 _PDF.pdf</v>
      </c>
      <c r="AO1466" t="str">
        <f>HYPERLINK("https://transparencia.cidesi.mx/comprobantes/2021/CQ2100919 /C1POR-T - 11995_RPM170315DQ5_XML.xml")</f>
        <v>https://transparencia.cidesi.mx/comprobantes/2021/CQ2100919 /C1POR-T - 11995_RPM170315DQ5_XML.xml</v>
      </c>
      <c r="AP1466" t="s">
        <v>2886</v>
      </c>
      <c r="AQ1466" t="s">
        <v>2887</v>
      </c>
      <c r="AR1466" t="s">
        <v>2888</v>
      </c>
      <c r="AS1466" t="s">
        <v>2889</v>
      </c>
      <c r="AT1466" s="1">
        <v>44473</v>
      </c>
      <c r="AU1466" s="1">
        <v>44476</v>
      </c>
    </row>
    <row r="1467" spans="1:47" x14ac:dyDescent="0.3">
      <c r="A1467" t="s">
        <v>2830</v>
      </c>
      <c r="B1467" t="s">
        <v>48</v>
      </c>
      <c r="C1467" t="s">
        <v>48</v>
      </c>
      <c r="D1467">
        <v>101019</v>
      </c>
      <c r="E1467" t="s">
        <v>2831</v>
      </c>
      <c r="F1467" t="s">
        <v>2832</v>
      </c>
      <c r="G1467" t="s">
        <v>2833</v>
      </c>
      <c r="H1467" t="s">
        <v>2883</v>
      </c>
      <c r="I1467" t="s">
        <v>54</v>
      </c>
      <c r="J1467" t="s">
        <v>2884</v>
      </c>
      <c r="K1467" t="s">
        <v>56</v>
      </c>
      <c r="L1467">
        <v>0</v>
      </c>
      <c r="M1467" t="s">
        <v>73</v>
      </c>
      <c r="N1467">
        <v>0</v>
      </c>
      <c r="O1467" t="s">
        <v>58</v>
      </c>
      <c r="P1467" t="s">
        <v>59</v>
      </c>
      <c r="Q1467" t="s">
        <v>108</v>
      </c>
      <c r="R1467" t="s">
        <v>2884</v>
      </c>
      <c r="S1467" s="1">
        <v>44468</v>
      </c>
      <c r="T1467" s="1">
        <v>44468</v>
      </c>
      <c r="U1467">
        <v>37501</v>
      </c>
      <c r="V1467" t="s">
        <v>61</v>
      </c>
      <c r="W1467" t="s">
        <v>2885</v>
      </c>
      <c r="X1467" s="1">
        <v>44469</v>
      </c>
      <c r="Y1467" t="s">
        <v>63</v>
      </c>
      <c r="Z1467">
        <v>684.48</v>
      </c>
      <c r="AA1467">
        <v>16</v>
      </c>
      <c r="AB1467">
        <v>109.52</v>
      </c>
      <c r="AC1467">
        <v>80</v>
      </c>
      <c r="AD1467">
        <v>874</v>
      </c>
      <c r="AE1467">
        <v>915</v>
      </c>
      <c r="AF1467">
        <v>1034</v>
      </c>
      <c r="AG1467" t="s">
        <v>2837</v>
      </c>
      <c r="AH1467" t="s">
        <v>65</v>
      </c>
      <c r="AI1467" t="s">
        <v>65</v>
      </c>
      <c r="AJ1467" t="s">
        <v>66</v>
      </c>
      <c r="AK1467" t="s">
        <v>66</v>
      </c>
      <c r="AL1467" t="s">
        <v>66</v>
      </c>
      <c r="AM1467" s="2" t="str">
        <f>HYPERLINK("https://transparencia.cidesi.mx/comprobantes/2021/CQ2100919 /C2FINA91444_OVI800131GQ6_PDF.pdf")</f>
        <v>https://transparencia.cidesi.mx/comprobantes/2021/CQ2100919 /C2FINA91444_OVI800131GQ6_PDF.pdf</v>
      </c>
      <c r="AN1467" t="str">
        <f>HYPERLINK("https://transparencia.cidesi.mx/comprobantes/2021/CQ2100919 /C2FINA91444_OVI800131GQ6_PDF.pdf")</f>
        <v>https://transparencia.cidesi.mx/comprobantes/2021/CQ2100919 /C2FINA91444_OVI800131GQ6_PDF.pdf</v>
      </c>
      <c r="AO1467" t="str">
        <f>HYPERLINK("https://transparencia.cidesi.mx/comprobantes/2021/CQ2100919 /C2FINA91444_OVI800131GQ6_XML.xml")</f>
        <v>https://transparencia.cidesi.mx/comprobantes/2021/CQ2100919 /C2FINA91444_OVI800131GQ6_XML.xml</v>
      </c>
      <c r="AP1467" t="s">
        <v>2886</v>
      </c>
      <c r="AQ1467" t="s">
        <v>2887</v>
      </c>
      <c r="AR1467" t="s">
        <v>2888</v>
      </c>
      <c r="AS1467" t="s">
        <v>2889</v>
      </c>
      <c r="AT1467" s="1">
        <v>44473</v>
      </c>
      <c r="AU1467" s="1">
        <v>44476</v>
      </c>
    </row>
    <row r="1468" spans="1:47" x14ac:dyDescent="0.3">
      <c r="A1468" t="s">
        <v>47</v>
      </c>
      <c r="B1468" t="s">
        <v>48</v>
      </c>
      <c r="C1468" t="s">
        <v>392</v>
      </c>
      <c r="D1468">
        <v>101057</v>
      </c>
      <c r="E1468" t="s">
        <v>2381</v>
      </c>
      <c r="F1468" t="s">
        <v>248</v>
      </c>
      <c r="G1468" t="s">
        <v>2890</v>
      </c>
      <c r="H1468" t="s">
        <v>2891</v>
      </c>
      <c r="I1468" t="s">
        <v>54</v>
      </c>
      <c r="J1468" t="s">
        <v>2892</v>
      </c>
      <c r="K1468" t="s">
        <v>56</v>
      </c>
      <c r="L1468">
        <v>0</v>
      </c>
      <c r="M1468" t="s">
        <v>73</v>
      </c>
      <c r="N1468">
        <v>0</v>
      </c>
      <c r="O1468" t="s">
        <v>58</v>
      </c>
      <c r="P1468" t="s">
        <v>59</v>
      </c>
      <c r="Q1468" t="s">
        <v>408</v>
      </c>
      <c r="R1468" t="s">
        <v>2892</v>
      </c>
      <c r="S1468" s="1">
        <v>44404</v>
      </c>
      <c r="T1468" s="1">
        <v>44408</v>
      </c>
      <c r="U1468">
        <v>37501</v>
      </c>
      <c r="V1468" t="s">
        <v>104</v>
      </c>
      <c r="W1468" t="s">
        <v>2893</v>
      </c>
      <c r="X1468" s="1">
        <v>44415</v>
      </c>
      <c r="Y1468" t="s">
        <v>63</v>
      </c>
      <c r="Z1468">
        <v>778.99</v>
      </c>
      <c r="AA1468">
        <v>16</v>
      </c>
      <c r="AB1468">
        <v>121.01</v>
      </c>
      <c r="AC1468">
        <v>0</v>
      </c>
      <c r="AD1468">
        <v>900</v>
      </c>
      <c r="AE1468">
        <v>4823.57</v>
      </c>
      <c r="AF1468">
        <v>4909</v>
      </c>
      <c r="AG1468" t="s">
        <v>2894</v>
      </c>
      <c r="AH1468" t="s">
        <v>65</v>
      </c>
      <c r="AI1468" t="s">
        <v>65</v>
      </c>
      <c r="AJ1468" t="s">
        <v>66</v>
      </c>
      <c r="AK1468" t="s">
        <v>66</v>
      </c>
      <c r="AL1468" t="s">
        <v>66</v>
      </c>
      <c r="AM1468" s="2" t="str">
        <f>HYPERLINK("https://transparencia.cidesi.mx/comprobantes/2021/CQ2100619 /C1990247D4-8C7F-4A79-A0AC-57F024D7CED6.pdf")</f>
        <v>https://transparencia.cidesi.mx/comprobantes/2021/CQ2100619 /C1990247D4-8C7F-4A79-A0AC-57F024D7CED6.pdf</v>
      </c>
      <c r="AN1468" t="str">
        <f>HYPERLINK("https://transparencia.cidesi.mx/comprobantes/2021/CQ2100619 /C1990247D4-8C7F-4A79-A0AC-57F024D7CED6.pdf")</f>
        <v>https://transparencia.cidesi.mx/comprobantes/2021/CQ2100619 /C1990247D4-8C7F-4A79-A0AC-57F024D7CED6.pdf</v>
      </c>
      <c r="AO1468" t="str">
        <f>HYPERLINK("https://transparencia.cidesi.mx/comprobantes/2021/CQ2100619 /C1990247D4-8C7F-4A79-A0AC-57F024D7CED6.xml")</f>
        <v>https://transparencia.cidesi.mx/comprobantes/2021/CQ2100619 /C1990247D4-8C7F-4A79-A0AC-57F024D7CED6.xml</v>
      </c>
      <c r="AP1468" t="s">
        <v>2895</v>
      </c>
      <c r="AQ1468" t="s">
        <v>2895</v>
      </c>
      <c r="AR1468" t="s">
        <v>425</v>
      </c>
      <c r="AS1468" t="s">
        <v>2895</v>
      </c>
      <c r="AT1468" s="1">
        <v>44417</v>
      </c>
      <c r="AU1468" s="1">
        <v>44424</v>
      </c>
    </row>
    <row r="1469" spans="1:47" x14ac:dyDescent="0.3">
      <c r="A1469" t="s">
        <v>47</v>
      </c>
      <c r="B1469" t="s">
        <v>48</v>
      </c>
      <c r="C1469" t="s">
        <v>392</v>
      </c>
      <c r="D1469">
        <v>101057</v>
      </c>
      <c r="E1469" t="s">
        <v>2381</v>
      </c>
      <c r="F1469" t="s">
        <v>248</v>
      </c>
      <c r="G1469" t="s">
        <v>2890</v>
      </c>
      <c r="H1469" t="s">
        <v>2891</v>
      </c>
      <c r="I1469" t="s">
        <v>54</v>
      </c>
      <c r="J1469" t="s">
        <v>2892</v>
      </c>
      <c r="K1469" t="s">
        <v>56</v>
      </c>
      <c r="L1469">
        <v>0</v>
      </c>
      <c r="M1469" t="s">
        <v>73</v>
      </c>
      <c r="N1469">
        <v>0</v>
      </c>
      <c r="O1469" t="s">
        <v>58</v>
      </c>
      <c r="P1469" t="s">
        <v>59</v>
      </c>
      <c r="Q1469" t="s">
        <v>408</v>
      </c>
      <c r="R1469" t="s">
        <v>2892</v>
      </c>
      <c r="S1469" s="1">
        <v>44404</v>
      </c>
      <c r="T1469" s="1">
        <v>44408</v>
      </c>
      <c r="U1469">
        <v>37501</v>
      </c>
      <c r="V1469" t="s">
        <v>61</v>
      </c>
      <c r="W1469" t="s">
        <v>2893</v>
      </c>
      <c r="X1469" s="1">
        <v>44415</v>
      </c>
      <c r="Y1469" t="s">
        <v>63</v>
      </c>
      <c r="Z1469">
        <v>204.02</v>
      </c>
      <c r="AA1469">
        <v>16</v>
      </c>
      <c r="AB1469">
        <v>32.64</v>
      </c>
      <c r="AC1469">
        <v>23.66</v>
      </c>
      <c r="AD1469">
        <v>260.32</v>
      </c>
      <c r="AE1469">
        <v>4823.57</v>
      </c>
      <c r="AF1469">
        <v>4909</v>
      </c>
      <c r="AG1469" t="s">
        <v>2896</v>
      </c>
      <c r="AH1469" t="s">
        <v>65</v>
      </c>
      <c r="AI1469" t="s">
        <v>65</v>
      </c>
      <c r="AJ1469" t="s">
        <v>66</v>
      </c>
      <c r="AK1469" t="s">
        <v>66</v>
      </c>
      <c r="AL1469" t="s">
        <v>66</v>
      </c>
      <c r="AM1469" s="2" t="str">
        <f>HYPERLINK("https://transparencia.cidesi.mx/comprobantes/2021/CQ2100619 /C2CID840309UG7_20210730_66909D5F8A144A41B1D8D7AB7A6EDC23.pdf")</f>
        <v>https://transparencia.cidesi.mx/comprobantes/2021/CQ2100619 /C2CID840309UG7_20210730_66909D5F8A144A41B1D8D7AB7A6EDC23.pdf</v>
      </c>
      <c r="AN1469" t="str">
        <f>HYPERLINK("https://transparencia.cidesi.mx/comprobantes/2021/CQ2100619 /C2CID840309UG7_20210730_66909D5F8A144A41B1D8D7AB7A6EDC23.pdf")</f>
        <v>https://transparencia.cidesi.mx/comprobantes/2021/CQ2100619 /C2CID840309UG7_20210730_66909D5F8A144A41B1D8D7AB7A6EDC23.pdf</v>
      </c>
      <c r="AO1469" t="str">
        <f>HYPERLINK("https://transparencia.cidesi.mx/comprobantes/2021/CQ2100619 /C2CID840309UG7_66909D5F-8A14-4A41-B1D8-D7AB7A6EDC23.xml")</f>
        <v>https://transparencia.cidesi.mx/comprobantes/2021/CQ2100619 /C2CID840309UG7_66909D5F-8A14-4A41-B1D8-D7AB7A6EDC23.xml</v>
      </c>
      <c r="AP1469" t="s">
        <v>2895</v>
      </c>
      <c r="AQ1469" t="s">
        <v>2895</v>
      </c>
      <c r="AR1469" t="s">
        <v>425</v>
      </c>
      <c r="AS1469" t="s">
        <v>2895</v>
      </c>
      <c r="AT1469" s="1">
        <v>44417</v>
      </c>
      <c r="AU1469" s="1">
        <v>44424</v>
      </c>
    </row>
    <row r="1470" spans="1:47" x14ac:dyDescent="0.3">
      <c r="A1470" t="s">
        <v>47</v>
      </c>
      <c r="B1470" t="s">
        <v>48</v>
      </c>
      <c r="C1470" t="s">
        <v>392</v>
      </c>
      <c r="D1470">
        <v>101057</v>
      </c>
      <c r="E1470" t="s">
        <v>2381</v>
      </c>
      <c r="F1470" t="s">
        <v>248</v>
      </c>
      <c r="G1470" t="s">
        <v>2890</v>
      </c>
      <c r="H1470" t="s">
        <v>2891</v>
      </c>
      <c r="I1470" t="s">
        <v>54</v>
      </c>
      <c r="J1470" t="s">
        <v>2892</v>
      </c>
      <c r="K1470" t="s">
        <v>56</v>
      </c>
      <c r="L1470">
        <v>0</v>
      </c>
      <c r="M1470" t="s">
        <v>73</v>
      </c>
      <c r="N1470">
        <v>0</v>
      </c>
      <c r="O1470" t="s">
        <v>58</v>
      </c>
      <c r="P1470" t="s">
        <v>59</v>
      </c>
      <c r="Q1470" t="s">
        <v>408</v>
      </c>
      <c r="R1470" t="s">
        <v>2892</v>
      </c>
      <c r="S1470" s="1">
        <v>44404</v>
      </c>
      <c r="T1470" s="1">
        <v>44408</v>
      </c>
      <c r="U1470">
        <v>37501</v>
      </c>
      <c r="V1470" t="s">
        <v>104</v>
      </c>
      <c r="W1470" t="s">
        <v>2893</v>
      </c>
      <c r="X1470" s="1">
        <v>44415</v>
      </c>
      <c r="Y1470" t="s">
        <v>63</v>
      </c>
      <c r="Z1470">
        <v>1042.3599999999999</v>
      </c>
      <c r="AA1470">
        <v>16</v>
      </c>
      <c r="AB1470">
        <v>161.91999999999999</v>
      </c>
      <c r="AC1470">
        <v>0</v>
      </c>
      <c r="AD1470">
        <v>1204.28</v>
      </c>
      <c r="AE1470">
        <v>4823.57</v>
      </c>
      <c r="AF1470">
        <v>4909</v>
      </c>
      <c r="AG1470" t="s">
        <v>2894</v>
      </c>
      <c r="AH1470" t="s">
        <v>65</v>
      </c>
      <c r="AI1470" t="s">
        <v>65</v>
      </c>
      <c r="AJ1470" t="s">
        <v>66</v>
      </c>
      <c r="AK1470" t="s">
        <v>66</v>
      </c>
      <c r="AL1470" t="s">
        <v>66</v>
      </c>
      <c r="AM1470" s="2" t="str">
        <f>HYPERLINK("https://transparencia.cidesi.mx/comprobantes/2021/CQ2100619 /C3HLA981210IF7-30-07-2021-215509411-3ff3d8e9-6d3d-43c5-bdc5-12d665a56077-RAMRECA-7545.pdf")</f>
        <v>https://transparencia.cidesi.mx/comprobantes/2021/CQ2100619 /C3HLA981210IF7-30-07-2021-215509411-3ff3d8e9-6d3d-43c5-bdc5-12d665a56077-RAMRECA-7545.pdf</v>
      </c>
      <c r="AN1470" t="str">
        <f>HYPERLINK("https://transparencia.cidesi.mx/comprobantes/2021/CQ2100619 /C3HLA981210IF7-30-07-2021-215509411-3ff3d8e9-6d3d-43c5-bdc5-12d665a56077-RAMRECA-7545.pdf")</f>
        <v>https://transparencia.cidesi.mx/comprobantes/2021/CQ2100619 /C3HLA981210IF7-30-07-2021-215509411-3ff3d8e9-6d3d-43c5-bdc5-12d665a56077-RAMRECA-7545.pdf</v>
      </c>
      <c r="AO1470" t="str">
        <f>HYPERLINK("https://transparencia.cidesi.mx/comprobantes/2021/CQ2100619 /C3HLA981210IF7-30-07-2021-215509411-3ff3d8e9-6d3d-43c5-bdc5-12d665a56077-RAMRECA-7545.xml")</f>
        <v>https://transparencia.cidesi.mx/comprobantes/2021/CQ2100619 /C3HLA981210IF7-30-07-2021-215509411-3ff3d8e9-6d3d-43c5-bdc5-12d665a56077-RAMRECA-7545.xml</v>
      </c>
      <c r="AP1470" t="s">
        <v>2895</v>
      </c>
      <c r="AQ1470" t="s">
        <v>2895</v>
      </c>
      <c r="AR1470" t="s">
        <v>425</v>
      </c>
      <c r="AS1470" t="s">
        <v>2895</v>
      </c>
      <c r="AT1470" s="1">
        <v>44417</v>
      </c>
      <c r="AU1470" s="1">
        <v>44424</v>
      </c>
    </row>
    <row r="1471" spans="1:47" x14ac:dyDescent="0.3">
      <c r="A1471" t="s">
        <v>47</v>
      </c>
      <c r="B1471" t="s">
        <v>48</v>
      </c>
      <c r="C1471" t="s">
        <v>392</v>
      </c>
      <c r="D1471">
        <v>101057</v>
      </c>
      <c r="E1471" t="s">
        <v>2381</v>
      </c>
      <c r="F1471" t="s">
        <v>248</v>
      </c>
      <c r="G1471" t="s">
        <v>2890</v>
      </c>
      <c r="H1471" t="s">
        <v>2891</v>
      </c>
      <c r="I1471" t="s">
        <v>54</v>
      </c>
      <c r="J1471" t="s">
        <v>2892</v>
      </c>
      <c r="K1471" t="s">
        <v>56</v>
      </c>
      <c r="L1471">
        <v>0</v>
      </c>
      <c r="M1471" t="s">
        <v>73</v>
      </c>
      <c r="N1471">
        <v>0</v>
      </c>
      <c r="O1471" t="s">
        <v>58</v>
      </c>
      <c r="P1471" t="s">
        <v>59</v>
      </c>
      <c r="Q1471" t="s">
        <v>408</v>
      </c>
      <c r="R1471" t="s">
        <v>2892</v>
      </c>
      <c r="S1471" s="1">
        <v>44404</v>
      </c>
      <c r="T1471" s="1">
        <v>44408</v>
      </c>
      <c r="U1471">
        <v>37501</v>
      </c>
      <c r="V1471" t="s">
        <v>61</v>
      </c>
      <c r="W1471" t="s">
        <v>2893</v>
      </c>
      <c r="X1471" s="1">
        <v>44415</v>
      </c>
      <c r="Y1471" t="s">
        <v>63</v>
      </c>
      <c r="Z1471">
        <v>229.44</v>
      </c>
      <c r="AA1471">
        <v>16</v>
      </c>
      <c r="AB1471">
        <v>5.52</v>
      </c>
      <c r="AC1471">
        <v>0</v>
      </c>
      <c r="AD1471">
        <v>234.96</v>
      </c>
      <c r="AE1471">
        <v>4823.57</v>
      </c>
      <c r="AF1471">
        <v>4909</v>
      </c>
      <c r="AG1471" t="s">
        <v>2896</v>
      </c>
      <c r="AH1471" t="s">
        <v>65</v>
      </c>
      <c r="AI1471" t="s">
        <v>65</v>
      </c>
      <c r="AJ1471" t="s">
        <v>66</v>
      </c>
      <c r="AK1471" t="s">
        <v>66</v>
      </c>
      <c r="AL1471" t="s">
        <v>66</v>
      </c>
      <c r="AM1471" s="2" t="str">
        <f>HYPERLINK("https://transparencia.cidesi.mx/comprobantes/2021/CQ2100619 /C4FACTURA_1627755968277_339513379.pdf")</f>
        <v>https://transparencia.cidesi.mx/comprobantes/2021/CQ2100619 /C4FACTURA_1627755968277_339513379.pdf</v>
      </c>
      <c r="AN1471" t="str">
        <f>HYPERLINK("https://transparencia.cidesi.mx/comprobantes/2021/CQ2100619 /C4FACTURA_1627755968277_339513379.pdf")</f>
        <v>https://transparencia.cidesi.mx/comprobantes/2021/CQ2100619 /C4FACTURA_1627755968277_339513379.pdf</v>
      </c>
      <c r="AO1471" t="str">
        <f>HYPERLINK("https://transparencia.cidesi.mx/comprobantes/2021/CQ2100619 /C4FACTURA_1627755970157_339513379.xml")</f>
        <v>https://transparencia.cidesi.mx/comprobantes/2021/CQ2100619 /C4FACTURA_1627755970157_339513379.xml</v>
      </c>
      <c r="AP1471" t="s">
        <v>2895</v>
      </c>
      <c r="AQ1471" t="s">
        <v>2895</v>
      </c>
      <c r="AR1471" t="s">
        <v>425</v>
      </c>
      <c r="AS1471" t="s">
        <v>2895</v>
      </c>
      <c r="AT1471" s="1">
        <v>44417</v>
      </c>
      <c r="AU1471" s="1">
        <v>44424</v>
      </c>
    </row>
    <row r="1472" spans="1:47" x14ac:dyDescent="0.3">
      <c r="A1472" t="s">
        <v>47</v>
      </c>
      <c r="B1472" t="s">
        <v>48</v>
      </c>
      <c r="C1472" t="s">
        <v>392</v>
      </c>
      <c r="D1472">
        <v>101057</v>
      </c>
      <c r="E1472" t="s">
        <v>2381</v>
      </c>
      <c r="F1472" t="s">
        <v>248</v>
      </c>
      <c r="G1472" t="s">
        <v>2890</v>
      </c>
      <c r="H1472" t="s">
        <v>2891</v>
      </c>
      <c r="I1472" t="s">
        <v>54</v>
      </c>
      <c r="J1472" t="s">
        <v>2892</v>
      </c>
      <c r="K1472" t="s">
        <v>56</v>
      </c>
      <c r="L1472">
        <v>0</v>
      </c>
      <c r="M1472" t="s">
        <v>73</v>
      </c>
      <c r="N1472">
        <v>0</v>
      </c>
      <c r="O1472" t="s">
        <v>58</v>
      </c>
      <c r="P1472" t="s">
        <v>59</v>
      </c>
      <c r="Q1472" t="s">
        <v>408</v>
      </c>
      <c r="R1472" t="s">
        <v>2892</v>
      </c>
      <c r="S1472" s="1">
        <v>44404</v>
      </c>
      <c r="T1472" s="1">
        <v>44408</v>
      </c>
      <c r="U1472">
        <v>37501</v>
      </c>
      <c r="V1472" t="s">
        <v>61</v>
      </c>
      <c r="W1472" t="s">
        <v>2893</v>
      </c>
      <c r="X1472" s="1">
        <v>44415</v>
      </c>
      <c r="Y1472" t="s">
        <v>63</v>
      </c>
      <c r="Z1472">
        <v>377.59</v>
      </c>
      <c r="AA1472">
        <v>16</v>
      </c>
      <c r="AB1472">
        <v>60.41</v>
      </c>
      <c r="AC1472">
        <v>43.8</v>
      </c>
      <c r="AD1472">
        <v>481.8</v>
      </c>
      <c r="AE1472">
        <v>4823.57</v>
      </c>
      <c r="AF1472">
        <v>4909</v>
      </c>
      <c r="AG1472" t="s">
        <v>2896</v>
      </c>
      <c r="AH1472" t="s">
        <v>65</v>
      </c>
      <c r="AI1472" t="s">
        <v>65</v>
      </c>
      <c r="AJ1472" t="s">
        <v>66</v>
      </c>
      <c r="AK1472" t="s">
        <v>66</v>
      </c>
      <c r="AL1472" t="s">
        <v>66</v>
      </c>
      <c r="AM1472" s="2" t="str">
        <f>HYPERLINK("https://transparencia.cidesi.mx/comprobantes/2021/CQ2100619 /C5F0000074508.pdf")</f>
        <v>https://transparencia.cidesi.mx/comprobantes/2021/CQ2100619 /C5F0000074508.pdf</v>
      </c>
      <c r="AN1472" t="str">
        <f>HYPERLINK("https://transparencia.cidesi.mx/comprobantes/2021/CQ2100619 /C5F0000074508.pdf")</f>
        <v>https://transparencia.cidesi.mx/comprobantes/2021/CQ2100619 /C5F0000074508.pdf</v>
      </c>
      <c r="AO1472" t="str">
        <f>HYPERLINK("https://transparencia.cidesi.mx/comprobantes/2021/CQ2100619 /C5F0000074508.xml")</f>
        <v>https://transparencia.cidesi.mx/comprobantes/2021/CQ2100619 /C5F0000074508.xml</v>
      </c>
      <c r="AP1472" t="s">
        <v>2895</v>
      </c>
      <c r="AQ1472" t="s">
        <v>2895</v>
      </c>
      <c r="AR1472" t="s">
        <v>425</v>
      </c>
      <c r="AS1472" t="s">
        <v>2895</v>
      </c>
      <c r="AT1472" s="1">
        <v>44417</v>
      </c>
      <c r="AU1472" s="1">
        <v>44424</v>
      </c>
    </row>
    <row r="1473" spans="1:47" x14ac:dyDescent="0.3">
      <c r="A1473" t="s">
        <v>47</v>
      </c>
      <c r="B1473" t="s">
        <v>48</v>
      </c>
      <c r="C1473" t="s">
        <v>392</v>
      </c>
      <c r="D1473">
        <v>101057</v>
      </c>
      <c r="E1473" t="s">
        <v>2381</v>
      </c>
      <c r="F1473" t="s">
        <v>248</v>
      </c>
      <c r="G1473" t="s">
        <v>2890</v>
      </c>
      <c r="H1473" t="s">
        <v>2891</v>
      </c>
      <c r="I1473" t="s">
        <v>54</v>
      </c>
      <c r="J1473" t="s">
        <v>2892</v>
      </c>
      <c r="K1473" t="s">
        <v>56</v>
      </c>
      <c r="L1473">
        <v>0</v>
      </c>
      <c r="M1473" t="s">
        <v>73</v>
      </c>
      <c r="N1473">
        <v>0</v>
      </c>
      <c r="O1473" t="s">
        <v>58</v>
      </c>
      <c r="P1473" t="s">
        <v>59</v>
      </c>
      <c r="Q1473" t="s">
        <v>408</v>
      </c>
      <c r="R1473" t="s">
        <v>2892</v>
      </c>
      <c r="S1473" s="1">
        <v>44404</v>
      </c>
      <c r="T1473" s="1">
        <v>44408</v>
      </c>
      <c r="U1473">
        <v>37501</v>
      </c>
      <c r="V1473" t="s">
        <v>61</v>
      </c>
      <c r="W1473" t="s">
        <v>2893</v>
      </c>
      <c r="X1473" s="1">
        <v>44415</v>
      </c>
      <c r="Y1473" t="s">
        <v>63</v>
      </c>
      <c r="Z1473">
        <v>336.21</v>
      </c>
      <c r="AA1473">
        <v>16</v>
      </c>
      <c r="AB1473">
        <v>53.79</v>
      </c>
      <c r="AC1473">
        <v>0</v>
      </c>
      <c r="AD1473">
        <v>390</v>
      </c>
      <c r="AE1473">
        <v>4823.57</v>
      </c>
      <c r="AF1473">
        <v>4909</v>
      </c>
      <c r="AG1473" t="s">
        <v>2896</v>
      </c>
      <c r="AH1473" t="s">
        <v>65</v>
      </c>
      <c r="AI1473" t="s">
        <v>65</v>
      </c>
      <c r="AJ1473" t="s">
        <v>66</v>
      </c>
      <c r="AK1473" t="s">
        <v>66</v>
      </c>
      <c r="AL1473" t="s">
        <v>66</v>
      </c>
      <c r="AM1473" s="2" t="str">
        <f>HYPERLINK("https://transparencia.cidesi.mx/comprobantes/2021/CQ2100619 /C6DTC030807LN2-31-07-2021-134505150-e524c30d-8ca3-45c9-a49d-3dcd53c2c925-ALM33-39046.pdf")</f>
        <v>https://transparencia.cidesi.mx/comprobantes/2021/CQ2100619 /C6DTC030807LN2-31-07-2021-134505150-e524c30d-8ca3-45c9-a49d-3dcd53c2c925-ALM33-39046.pdf</v>
      </c>
      <c r="AN1473" t="str">
        <f>HYPERLINK("https://transparencia.cidesi.mx/comprobantes/2021/CQ2100619 /C6DTC030807LN2-31-07-2021-134505150-e524c30d-8ca3-45c9-a49d-3dcd53c2c925-ALM33-39046.pdf")</f>
        <v>https://transparencia.cidesi.mx/comprobantes/2021/CQ2100619 /C6DTC030807LN2-31-07-2021-134505150-e524c30d-8ca3-45c9-a49d-3dcd53c2c925-ALM33-39046.pdf</v>
      </c>
      <c r="AO1473" t="str">
        <f>HYPERLINK("https://transparencia.cidesi.mx/comprobantes/2021/CQ2100619 /C6DTC030807LN2-31-07-2021-134505150-e524c30d-8ca3-45c9-a49d-3dcd53c2c925-ALM33-39046.xml")</f>
        <v>https://transparencia.cidesi.mx/comprobantes/2021/CQ2100619 /C6DTC030807LN2-31-07-2021-134505150-e524c30d-8ca3-45c9-a49d-3dcd53c2c925-ALM33-39046.xml</v>
      </c>
      <c r="AP1473" t="s">
        <v>2895</v>
      </c>
      <c r="AQ1473" t="s">
        <v>2895</v>
      </c>
      <c r="AR1473" t="s">
        <v>425</v>
      </c>
      <c r="AS1473" t="s">
        <v>2895</v>
      </c>
      <c r="AT1473" s="1">
        <v>44417</v>
      </c>
      <c r="AU1473" s="1">
        <v>44424</v>
      </c>
    </row>
    <row r="1474" spans="1:47" x14ac:dyDescent="0.3">
      <c r="A1474" t="s">
        <v>47</v>
      </c>
      <c r="B1474" t="s">
        <v>48</v>
      </c>
      <c r="C1474" t="s">
        <v>392</v>
      </c>
      <c r="D1474">
        <v>101057</v>
      </c>
      <c r="E1474" t="s">
        <v>2381</v>
      </c>
      <c r="F1474" t="s">
        <v>248</v>
      </c>
      <c r="G1474" t="s">
        <v>2890</v>
      </c>
      <c r="H1474" t="s">
        <v>2891</v>
      </c>
      <c r="I1474" t="s">
        <v>54</v>
      </c>
      <c r="J1474" t="s">
        <v>2892</v>
      </c>
      <c r="K1474" t="s">
        <v>56</v>
      </c>
      <c r="L1474">
        <v>0</v>
      </c>
      <c r="M1474" t="s">
        <v>73</v>
      </c>
      <c r="N1474">
        <v>0</v>
      </c>
      <c r="O1474" t="s">
        <v>58</v>
      </c>
      <c r="P1474" t="s">
        <v>59</v>
      </c>
      <c r="Q1474" t="s">
        <v>408</v>
      </c>
      <c r="R1474" t="s">
        <v>2892</v>
      </c>
      <c r="S1474" s="1">
        <v>44404</v>
      </c>
      <c r="T1474" s="1">
        <v>44408</v>
      </c>
      <c r="U1474">
        <v>37501</v>
      </c>
      <c r="V1474" t="s">
        <v>104</v>
      </c>
      <c r="W1474" t="s">
        <v>2893</v>
      </c>
      <c r="X1474" s="1">
        <v>44415</v>
      </c>
      <c r="Y1474" t="s">
        <v>63</v>
      </c>
      <c r="Z1474">
        <v>546.63</v>
      </c>
      <c r="AA1474">
        <v>16</v>
      </c>
      <c r="AB1474">
        <v>84.91</v>
      </c>
      <c r="AC1474">
        <v>0</v>
      </c>
      <c r="AD1474">
        <v>631.54</v>
      </c>
      <c r="AE1474">
        <v>4823.57</v>
      </c>
      <c r="AF1474">
        <v>4909</v>
      </c>
      <c r="AG1474" t="s">
        <v>2894</v>
      </c>
      <c r="AH1474" t="s">
        <v>65</v>
      </c>
      <c r="AI1474" t="s">
        <v>65</v>
      </c>
      <c r="AJ1474" t="s">
        <v>66</v>
      </c>
      <c r="AK1474" t="s">
        <v>66</v>
      </c>
      <c r="AL1474" t="s">
        <v>66</v>
      </c>
      <c r="AM1474" s="2" t="str">
        <f>HYPERLINK("https://transparencia.cidesi.mx/comprobantes/2021/CQ2100619 /C7DTC030807LN2-05-08-2021-152338370-148d0601-1f3f-48ef-9219-403184805d93-ALM33-39085.pdf")</f>
        <v>https://transparencia.cidesi.mx/comprobantes/2021/CQ2100619 /C7DTC030807LN2-05-08-2021-152338370-148d0601-1f3f-48ef-9219-403184805d93-ALM33-39085.pdf</v>
      </c>
      <c r="AN1474" t="str">
        <f>HYPERLINK("https://transparencia.cidesi.mx/comprobantes/2021/CQ2100619 /C7DTC030807LN2-05-08-2021-152338370-148d0601-1f3f-48ef-9219-403184805d93-ALM33-39085.pdf")</f>
        <v>https://transparencia.cidesi.mx/comprobantes/2021/CQ2100619 /C7DTC030807LN2-05-08-2021-152338370-148d0601-1f3f-48ef-9219-403184805d93-ALM33-39085.pdf</v>
      </c>
      <c r="AO1474" t="str">
        <f>HYPERLINK("https://transparencia.cidesi.mx/comprobantes/2021/CQ2100619 /C7DTC030807LN2-05-08-2021-152338370-148d0601-1f3f-48ef-9219-403184805d93-ALM33-39085.xml")</f>
        <v>https://transparencia.cidesi.mx/comprobantes/2021/CQ2100619 /C7DTC030807LN2-05-08-2021-152338370-148d0601-1f3f-48ef-9219-403184805d93-ALM33-39085.xml</v>
      </c>
      <c r="AP1474" t="s">
        <v>2895</v>
      </c>
      <c r="AQ1474" t="s">
        <v>2895</v>
      </c>
      <c r="AR1474" t="s">
        <v>425</v>
      </c>
      <c r="AS1474" t="s">
        <v>2895</v>
      </c>
      <c r="AT1474" s="1">
        <v>44417</v>
      </c>
      <c r="AU1474" s="1">
        <v>44424</v>
      </c>
    </row>
    <row r="1475" spans="1:47" x14ac:dyDescent="0.3">
      <c r="A1475" t="s">
        <v>47</v>
      </c>
      <c r="B1475" t="s">
        <v>48</v>
      </c>
      <c r="C1475" t="s">
        <v>392</v>
      </c>
      <c r="D1475">
        <v>101057</v>
      </c>
      <c r="E1475" t="s">
        <v>2381</v>
      </c>
      <c r="F1475" t="s">
        <v>248</v>
      </c>
      <c r="G1475" t="s">
        <v>2890</v>
      </c>
      <c r="H1475" t="s">
        <v>2891</v>
      </c>
      <c r="I1475" t="s">
        <v>54</v>
      </c>
      <c r="J1475" t="s">
        <v>2892</v>
      </c>
      <c r="K1475" t="s">
        <v>56</v>
      </c>
      <c r="L1475">
        <v>0</v>
      </c>
      <c r="M1475" t="s">
        <v>73</v>
      </c>
      <c r="N1475">
        <v>0</v>
      </c>
      <c r="O1475" t="s">
        <v>58</v>
      </c>
      <c r="P1475" t="s">
        <v>59</v>
      </c>
      <c r="Q1475" t="s">
        <v>408</v>
      </c>
      <c r="R1475" t="s">
        <v>2892</v>
      </c>
      <c r="S1475" s="1">
        <v>44404</v>
      </c>
      <c r="T1475" s="1">
        <v>44408</v>
      </c>
      <c r="U1475">
        <v>37501</v>
      </c>
      <c r="V1475" t="s">
        <v>61</v>
      </c>
      <c r="W1475" t="s">
        <v>2893</v>
      </c>
      <c r="X1475" s="1">
        <v>44415</v>
      </c>
      <c r="Y1475" t="s">
        <v>63</v>
      </c>
      <c r="Z1475">
        <v>196.67</v>
      </c>
      <c r="AA1475">
        <v>16</v>
      </c>
      <c r="AB1475">
        <v>1</v>
      </c>
      <c r="AC1475">
        <v>20</v>
      </c>
      <c r="AD1475">
        <v>217.67</v>
      </c>
      <c r="AE1475">
        <v>4823.57</v>
      </c>
      <c r="AF1475">
        <v>4909</v>
      </c>
      <c r="AG1475" t="s">
        <v>2896</v>
      </c>
      <c r="AH1475" t="s">
        <v>65</v>
      </c>
      <c r="AI1475" t="s">
        <v>65</v>
      </c>
      <c r="AJ1475" t="s">
        <v>66</v>
      </c>
      <c r="AK1475" t="s">
        <v>66</v>
      </c>
      <c r="AL1475" t="s">
        <v>66</v>
      </c>
      <c r="AM1475" s="2" t="str">
        <f>HYPERLINK("https://transparencia.cidesi.mx/comprobantes/2021/CQ2100619 /C8693.pdf")</f>
        <v>https://transparencia.cidesi.mx/comprobantes/2021/CQ2100619 /C8693.pdf</v>
      </c>
      <c r="AN1475" t="str">
        <f>HYPERLINK("https://transparencia.cidesi.mx/comprobantes/2021/CQ2100619 /C8693.pdf")</f>
        <v>https://transparencia.cidesi.mx/comprobantes/2021/CQ2100619 /C8693.pdf</v>
      </c>
      <c r="AO1475" t="str">
        <f>HYPERLINK("https://transparencia.cidesi.mx/comprobantes/2021/CQ2100619 /C8693.xml")</f>
        <v>https://transparencia.cidesi.mx/comprobantes/2021/CQ2100619 /C8693.xml</v>
      </c>
      <c r="AP1475" t="s">
        <v>2895</v>
      </c>
      <c r="AQ1475" t="s">
        <v>2895</v>
      </c>
      <c r="AR1475" t="s">
        <v>425</v>
      </c>
      <c r="AS1475" t="s">
        <v>2895</v>
      </c>
      <c r="AT1475" s="1">
        <v>44417</v>
      </c>
      <c r="AU1475" s="1">
        <v>44424</v>
      </c>
    </row>
    <row r="1476" spans="1:47" x14ac:dyDescent="0.3">
      <c r="A1476" t="s">
        <v>47</v>
      </c>
      <c r="B1476" t="s">
        <v>48</v>
      </c>
      <c r="C1476" t="s">
        <v>392</v>
      </c>
      <c r="D1476">
        <v>101057</v>
      </c>
      <c r="E1476" t="s">
        <v>2381</v>
      </c>
      <c r="F1476" t="s">
        <v>248</v>
      </c>
      <c r="G1476" t="s">
        <v>2890</v>
      </c>
      <c r="H1476" t="s">
        <v>2891</v>
      </c>
      <c r="I1476" t="s">
        <v>54</v>
      </c>
      <c r="J1476" t="s">
        <v>2892</v>
      </c>
      <c r="K1476" t="s">
        <v>56</v>
      </c>
      <c r="L1476">
        <v>0</v>
      </c>
      <c r="M1476" t="s">
        <v>73</v>
      </c>
      <c r="N1476">
        <v>0</v>
      </c>
      <c r="O1476" t="s">
        <v>58</v>
      </c>
      <c r="P1476" t="s">
        <v>59</v>
      </c>
      <c r="Q1476" t="s">
        <v>408</v>
      </c>
      <c r="R1476" t="s">
        <v>2892</v>
      </c>
      <c r="S1476" s="1">
        <v>44404</v>
      </c>
      <c r="T1476" s="1">
        <v>44408</v>
      </c>
      <c r="U1476">
        <v>37501</v>
      </c>
      <c r="V1476" t="s">
        <v>61</v>
      </c>
      <c r="W1476" t="s">
        <v>2893</v>
      </c>
      <c r="X1476" s="1">
        <v>44415</v>
      </c>
      <c r="Y1476" t="s">
        <v>63</v>
      </c>
      <c r="Z1476">
        <v>433.62</v>
      </c>
      <c r="AA1476">
        <v>16</v>
      </c>
      <c r="AB1476">
        <v>69.38</v>
      </c>
      <c r="AC1476">
        <v>0</v>
      </c>
      <c r="AD1476">
        <v>503</v>
      </c>
      <c r="AE1476">
        <v>4823.57</v>
      </c>
      <c r="AF1476">
        <v>4909</v>
      </c>
      <c r="AG1476" t="s">
        <v>2896</v>
      </c>
      <c r="AH1476" t="s">
        <v>65</v>
      </c>
      <c r="AI1476" t="s">
        <v>65</v>
      </c>
      <c r="AJ1476" t="s">
        <v>66</v>
      </c>
      <c r="AK1476" t="s">
        <v>66</v>
      </c>
      <c r="AL1476" t="s">
        <v>66</v>
      </c>
      <c r="AM1476" s="2" t="str">
        <f>HYPERLINK("https://transparencia.cidesi.mx/comprobantes/2021/CQ2100619 /C9SIGN_RAM160311H56_A432_CID840309UG7.pdf")</f>
        <v>https://transparencia.cidesi.mx/comprobantes/2021/CQ2100619 /C9SIGN_RAM160311H56_A432_CID840309UG7.pdf</v>
      </c>
      <c r="AN1476" t="str">
        <f>HYPERLINK("https://transparencia.cidesi.mx/comprobantes/2021/CQ2100619 /C9SIGN_RAM160311H56_A432_CID840309UG7.pdf")</f>
        <v>https://transparencia.cidesi.mx/comprobantes/2021/CQ2100619 /C9SIGN_RAM160311H56_A432_CID840309UG7.pdf</v>
      </c>
      <c r="AO1476" t="str">
        <f>HYPERLINK("https://transparencia.cidesi.mx/comprobantes/2021/CQ2100619 /C9SIGN_RAM160311H56_A432_CID840309UG7.xml")</f>
        <v>https://transparencia.cidesi.mx/comprobantes/2021/CQ2100619 /C9SIGN_RAM160311H56_A432_CID840309UG7.xml</v>
      </c>
      <c r="AP1476" t="s">
        <v>2895</v>
      </c>
      <c r="AQ1476" t="s">
        <v>2895</v>
      </c>
      <c r="AR1476" t="s">
        <v>425</v>
      </c>
      <c r="AS1476" t="s">
        <v>2895</v>
      </c>
      <c r="AT1476" s="1">
        <v>44417</v>
      </c>
      <c r="AU1476" s="1">
        <v>44424</v>
      </c>
    </row>
    <row r="1477" spans="1:47" x14ac:dyDescent="0.3">
      <c r="A1477" t="s">
        <v>47</v>
      </c>
      <c r="B1477" t="s">
        <v>48</v>
      </c>
      <c r="C1477" t="s">
        <v>392</v>
      </c>
      <c r="D1477">
        <v>101057</v>
      </c>
      <c r="E1477" t="s">
        <v>2381</v>
      </c>
      <c r="F1477" t="s">
        <v>248</v>
      </c>
      <c r="G1477" t="s">
        <v>2890</v>
      </c>
      <c r="H1477" t="s">
        <v>2897</v>
      </c>
      <c r="I1477" t="s">
        <v>54</v>
      </c>
      <c r="J1477" t="s">
        <v>1883</v>
      </c>
      <c r="K1477" t="s">
        <v>56</v>
      </c>
      <c r="L1477">
        <v>0</v>
      </c>
      <c r="M1477" t="s">
        <v>73</v>
      </c>
      <c r="N1477">
        <v>0</v>
      </c>
      <c r="O1477" t="s">
        <v>58</v>
      </c>
      <c r="P1477" t="s">
        <v>59</v>
      </c>
      <c r="Q1477" t="s">
        <v>408</v>
      </c>
      <c r="R1477" t="s">
        <v>1883</v>
      </c>
      <c r="S1477" s="1">
        <v>44408</v>
      </c>
      <c r="T1477" s="1">
        <v>44414</v>
      </c>
      <c r="U1477">
        <v>37501</v>
      </c>
      <c r="V1477" t="s">
        <v>104</v>
      </c>
      <c r="W1477" t="s">
        <v>2898</v>
      </c>
      <c r="X1477" s="1">
        <v>44462</v>
      </c>
      <c r="Y1477" t="s">
        <v>63</v>
      </c>
      <c r="Z1477">
        <v>546.47</v>
      </c>
      <c r="AA1477">
        <v>16</v>
      </c>
      <c r="AB1477">
        <v>84.89</v>
      </c>
      <c r="AC1477">
        <v>0</v>
      </c>
      <c r="AD1477">
        <v>631.36</v>
      </c>
      <c r="AE1477">
        <v>5686.9</v>
      </c>
      <c r="AF1477">
        <v>7091</v>
      </c>
      <c r="AG1477" t="s">
        <v>2894</v>
      </c>
      <c r="AH1477" t="s">
        <v>65</v>
      </c>
      <c r="AI1477" t="s">
        <v>65</v>
      </c>
      <c r="AJ1477" t="s">
        <v>66</v>
      </c>
      <c r="AK1477" t="s">
        <v>66</v>
      </c>
      <c r="AL1477" t="s">
        <v>66</v>
      </c>
      <c r="AM1477" s="2" t="str">
        <f>HYPERLINK("https://transparencia.cidesi.mx/comprobantes/2021/CQ2100870 /C1DTC030807LN2-05-08-2021-152542992-ae0168b0-38b1-481b-bee0-9046926a5c1d-ALM33-39087.pdf")</f>
        <v>https://transparencia.cidesi.mx/comprobantes/2021/CQ2100870 /C1DTC030807LN2-05-08-2021-152542992-ae0168b0-38b1-481b-bee0-9046926a5c1d-ALM33-39087.pdf</v>
      </c>
      <c r="AN1477" t="str">
        <f>HYPERLINK("https://transparencia.cidesi.mx/comprobantes/2021/CQ2100870 /C1DTC030807LN2-05-08-2021-152542992-ae0168b0-38b1-481b-bee0-9046926a5c1d-ALM33-39087.pdf")</f>
        <v>https://transparencia.cidesi.mx/comprobantes/2021/CQ2100870 /C1DTC030807LN2-05-08-2021-152542992-ae0168b0-38b1-481b-bee0-9046926a5c1d-ALM33-39087.pdf</v>
      </c>
      <c r="AO1477" t="str">
        <f>HYPERLINK("https://transparencia.cidesi.mx/comprobantes/2021/CQ2100870 /C1DTC030807LN2-05-08-2021-152542992-ae0168b0-38b1-481b-bee0-9046926a5c1d-ALM33-39087.xml")</f>
        <v>https://transparencia.cidesi.mx/comprobantes/2021/CQ2100870 /C1DTC030807LN2-05-08-2021-152542992-ae0168b0-38b1-481b-bee0-9046926a5c1d-ALM33-39087.xml</v>
      </c>
      <c r="AP1477" t="s">
        <v>2899</v>
      </c>
      <c r="AQ1477" t="s">
        <v>2895</v>
      </c>
      <c r="AR1477" t="s">
        <v>425</v>
      </c>
      <c r="AS1477" t="s">
        <v>2895</v>
      </c>
      <c r="AT1477" s="1">
        <v>44462</v>
      </c>
      <c r="AU1477" s="1">
        <v>44467</v>
      </c>
    </row>
    <row r="1478" spans="1:47" x14ac:dyDescent="0.3">
      <c r="A1478" t="s">
        <v>47</v>
      </c>
      <c r="B1478" t="s">
        <v>48</v>
      </c>
      <c r="C1478" t="s">
        <v>392</v>
      </c>
      <c r="D1478">
        <v>101057</v>
      </c>
      <c r="E1478" t="s">
        <v>2381</v>
      </c>
      <c r="F1478" t="s">
        <v>248</v>
      </c>
      <c r="G1478" t="s">
        <v>2890</v>
      </c>
      <c r="H1478" t="s">
        <v>2897</v>
      </c>
      <c r="I1478" t="s">
        <v>54</v>
      </c>
      <c r="J1478" t="s">
        <v>1883</v>
      </c>
      <c r="K1478" t="s">
        <v>56</v>
      </c>
      <c r="L1478">
        <v>0</v>
      </c>
      <c r="M1478" t="s">
        <v>73</v>
      </c>
      <c r="N1478">
        <v>0</v>
      </c>
      <c r="O1478" t="s">
        <v>58</v>
      </c>
      <c r="P1478" t="s">
        <v>59</v>
      </c>
      <c r="Q1478" t="s">
        <v>408</v>
      </c>
      <c r="R1478" t="s">
        <v>1883</v>
      </c>
      <c r="S1478" s="1">
        <v>44408</v>
      </c>
      <c r="T1478" s="1">
        <v>44414</v>
      </c>
      <c r="U1478">
        <v>37501</v>
      </c>
      <c r="V1478" t="s">
        <v>104</v>
      </c>
      <c r="W1478" t="s">
        <v>2898</v>
      </c>
      <c r="X1478" s="1">
        <v>44462</v>
      </c>
      <c r="Y1478" t="s">
        <v>63</v>
      </c>
      <c r="Z1478">
        <v>905.17</v>
      </c>
      <c r="AA1478">
        <v>16</v>
      </c>
      <c r="AB1478">
        <v>144.83000000000001</v>
      </c>
      <c r="AC1478">
        <v>0</v>
      </c>
      <c r="AD1478">
        <v>1050</v>
      </c>
      <c r="AE1478">
        <v>5686.9</v>
      </c>
      <c r="AF1478">
        <v>7091</v>
      </c>
      <c r="AG1478" t="s">
        <v>2894</v>
      </c>
      <c r="AH1478" t="s">
        <v>65</v>
      </c>
      <c r="AI1478" t="s">
        <v>65</v>
      </c>
      <c r="AJ1478" t="s">
        <v>66</v>
      </c>
      <c r="AK1478" t="s">
        <v>66</v>
      </c>
      <c r="AL1478" t="s">
        <v>66</v>
      </c>
      <c r="AM1478" s="2" t="str">
        <f>HYPERLINK("https://transparencia.cidesi.mx/comprobantes/2021/CQ2100870 /C3aaa1d69b-66ef-4299-9800-f73ca92d80c3.pdf")</f>
        <v>https://transparencia.cidesi.mx/comprobantes/2021/CQ2100870 /C3aaa1d69b-66ef-4299-9800-f73ca92d80c3.pdf</v>
      </c>
      <c r="AN1478" t="str">
        <f>HYPERLINK("https://transparencia.cidesi.mx/comprobantes/2021/CQ2100870 /C3aaa1d69b-66ef-4299-9800-f73ca92d80c3.pdf")</f>
        <v>https://transparencia.cidesi.mx/comprobantes/2021/CQ2100870 /C3aaa1d69b-66ef-4299-9800-f73ca92d80c3.pdf</v>
      </c>
      <c r="AO1478" t="str">
        <f>HYPERLINK("https://transparencia.cidesi.mx/comprobantes/2021/CQ2100870 /C3aaa1d69b-66ef-4299-9800-f73ca92d80c3.xml")</f>
        <v>https://transparencia.cidesi.mx/comprobantes/2021/CQ2100870 /C3aaa1d69b-66ef-4299-9800-f73ca92d80c3.xml</v>
      </c>
      <c r="AP1478" t="s">
        <v>2899</v>
      </c>
      <c r="AQ1478" t="s">
        <v>2895</v>
      </c>
      <c r="AR1478" t="s">
        <v>425</v>
      </c>
      <c r="AS1478" t="s">
        <v>2895</v>
      </c>
      <c r="AT1478" s="1">
        <v>44462</v>
      </c>
      <c r="AU1478" s="1">
        <v>44467</v>
      </c>
    </row>
    <row r="1479" spans="1:47" x14ac:dyDescent="0.3">
      <c r="A1479" t="s">
        <v>47</v>
      </c>
      <c r="B1479" t="s">
        <v>48</v>
      </c>
      <c r="C1479" t="s">
        <v>392</v>
      </c>
      <c r="D1479">
        <v>101057</v>
      </c>
      <c r="E1479" t="s">
        <v>2381</v>
      </c>
      <c r="F1479" t="s">
        <v>248</v>
      </c>
      <c r="G1479" t="s">
        <v>2890</v>
      </c>
      <c r="H1479" t="s">
        <v>2897</v>
      </c>
      <c r="I1479" t="s">
        <v>54</v>
      </c>
      <c r="J1479" t="s">
        <v>1883</v>
      </c>
      <c r="K1479" t="s">
        <v>56</v>
      </c>
      <c r="L1479">
        <v>0</v>
      </c>
      <c r="M1479" t="s">
        <v>73</v>
      </c>
      <c r="N1479">
        <v>0</v>
      </c>
      <c r="O1479" t="s">
        <v>58</v>
      </c>
      <c r="P1479" t="s">
        <v>59</v>
      </c>
      <c r="Q1479" t="s">
        <v>408</v>
      </c>
      <c r="R1479" t="s">
        <v>1883</v>
      </c>
      <c r="S1479" s="1">
        <v>44408</v>
      </c>
      <c r="T1479" s="1">
        <v>44414</v>
      </c>
      <c r="U1479">
        <v>37501</v>
      </c>
      <c r="V1479" t="s">
        <v>61</v>
      </c>
      <c r="W1479" t="s">
        <v>2898</v>
      </c>
      <c r="X1479" s="1">
        <v>44462</v>
      </c>
      <c r="Y1479" t="s">
        <v>63</v>
      </c>
      <c r="Z1479">
        <v>250.86</v>
      </c>
      <c r="AA1479">
        <v>16</v>
      </c>
      <c r="AB1479">
        <v>40.14</v>
      </c>
      <c r="AC1479">
        <v>0</v>
      </c>
      <c r="AD1479">
        <v>291</v>
      </c>
      <c r="AE1479">
        <v>5686.9</v>
      </c>
      <c r="AF1479">
        <v>7091</v>
      </c>
      <c r="AG1479" t="s">
        <v>2896</v>
      </c>
      <c r="AH1479" t="s">
        <v>65</v>
      </c>
      <c r="AI1479" t="s">
        <v>65</v>
      </c>
      <c r="AJ1479" t="s">
        <v>66</v>
      </c>
      <c r="AK1479" t="s">
        <v>66</v>
      </c>
      <c r="AL1479" t="s">
        <v>66</v>
      </c>
      <c r="AM1479" s="2" t="str">
        <f>HYPERLINK("https://transparencia.cidesi.mx/comprobantes/2021/CQ2100870 /C4aaa17172-ecbe-4472-a43e-a4342c43eda3.pdf")</f>
        <v>https://transparencia.cidesi.mx/comprobantes/2021/CQ2100870 /C4aaa17172-ecbe-4472-a43e-a4342c43eda3.pdf</v>
      </c>
      <c r="AN1479" t="str">
        <f>HYPERLINK("https://transparencia.cidesi.mx/comprobantes/2021/CQ2100870 /C4aaa17172-ecbe-4472-a43e-a4342c43eda3.pdf")</f>
        <v>https://transparencia.cidesi.mx/comprobantes/2021/CQ2100870 /C4aaa17172-ecbe-4472-a43e-a4342c43eda3.pdf</v>
      </c>
      <c r="AO1479" t="str">
        <f>HYPERLINK("https://transparencia.cidesi.mx/comprobantes/2021/CQ2100870 /C4aaa17172-ecbe-4472-a43e-a4342c43eda3.xml")</f>
        <v>https://transparencia.cidesi.mx/comprobantes/2021/CQ2100870 /C4aaa17172-ecbe-4472-a43e-a4342c43eda3.xml</v>
      </c>
      <c r="AP1479" t="s">
        <v>2899</v>
      </c>
      <c r="AQ1479" t="s">
        <v>2895</v>
      </c>
      <c r="AR1479" t="s">
        <v>425</v>
      </c>
      <c r="AS1479" t="s">
        <v>2895</v>
      </c>
      <c r="AT1479" s="1">
        <v>44462</v>
      </c>
      <c r="AU1479" s="1">
        <v>44467</v>
      </c>
    </row>
    <row r="1480" spans="1:47" x14ac:dyDescent="0.3">
      <c r="A1480" t="s">
        <v>47</v>
      </c>
      <c r="B1480" t="s">
        <v>48</v>
      </c>
      <c r="C1480" t="s">
        <v>392</v>
      </c>
      <c r="D1480">
        <v>101057</v>
      </c>
      <c r="E1480" t="s">
        <v>2381</v>
      </c>
      <c r="F1480" t="s">
        <v>248</v>
      </c>
      <c r="G1480" t="s">
        <v>2890</v>
      </c>
      <c r="H1480" t="s">
        <v>2897</v>
      </c>
      <c r="I1480" t="s">
        <v>54</v>
      </c>
      <c r="J1480" t="s">
        <v>1883</v>
      </c>
      <c r="K1480" t="s">
        <v>56</v>
      </c>
      <c r="L1480">
        <v>0</v>
      </c>
      <c r="M1480" t="s">
        <v>73</v>
      </c>
      <c r="N1480">
        <v>0</v>
      </c>
      <c r="O1480" t="s">
        <v>58</v>
      </c>
      <c r="P1480" t="s">
        <v>59</v>
      </c>
      <c r="Q1480" t="s">
        <v>408</v>
      </c>
      <c r="R1480" t="s">
        <v>1883</v>
      </c>
      <c r="S1480" s="1">
        <v>44408</v>
      </c>
      <c r="T1480" s="1">
        <v>44414</v>
      </c>
      <c r="U1480">
        <v>37501</v>
      </c>
      <c r="V1480" t="s">
        <v>104</v>
      </c>
      <c r="W1480" t="s">
        <v>2898</v>
      </c>
      <c r="X1480" s="1">
        <v>44462</v>
      </c>
      <c r="Y1480" t="s">
        <v>63</v>
      </c>
      <c r="Z1480">
        <v>546.77</v>
      </c>
      <c r="AA1480">
        <v>16</v>
      </c>
      <c r="AB1480">
        <v>84.89</v>
      </c>
      <c r="AC1480">
        <v>0</v>
      </c>
      <c r="AD1480">
        <v>631.66</v>
      </c>
      <c r="AE1480">
        <v>5686.9</v>
      </c>
      <c r="AF1480">
        <v>7091</v>
      </c>
      <c r="AG1480" t="s">
        <v>2894</v>
      </c>
      <c r="AH1480" t="s">
        <v>65</v>
      </c>
      <c r="AI1480" t="s">
        <v>65</v>
      </c>
      <c r="AJ1480" t="s">
        <v>66</v>
      </c>
      <c r="AK1480" t="s">
        <v>66</v>
      </c>
      <c r="AL1480" t="s">
        <v>66</v>
      </c>
      <c r="AM1480" s="2" t="str">
        <f>HYPERLINK("https://transparencia.cidesi.mx/comprobantes/2021/CQ2100870 /C5DTC030807LN2-05-08-2021-152142753-40892fa8-a390-4523-b954-10ed7158a702-ALM33-39084.pdf")</f>
        <v>https://transparencia.cidesi.mx/comprobantes/2021/CQ2100870 /C5DTC030807LN2-05-08-2021-152142753-40892fa8-a390-4523-b954-10ed7158a702-ALM33-39084.pdf</v>
      </c>
      <c r="AN1480" t="str">
        <f>HYPERLINK("https://transparencia.cidesi.mx/comprobantes/2021/CQ2100870 /C5DTC030807LN2-05-08-2021-152142753-40892fa8-a390-4523-b954-10ed7158a702-ALM33-39084.pdf")</f>
        <v>https://transparencia.cidesi.mx/comprobantes/2021/CQ2100870 /C5DTC030807LN2-05-08-2021-152142753-40892fa8-a390-4523-b954-10ed7158a702-ALM33-39084.pdf</v>
      </c>
      <c r="AO1480" t="str">
        <f>HYPERLINK("https://transparencia.cidesi.mx/comprobantes/2021/CQ2100870 /C5DTC030807LN2-05-08-2021-152142753-40892fa8-a390-4523-b954-10ed7158a702-ALM33-39084.xml")</f>
        <v>https://transparencia.cidesi.mx/comprobantes/2021/CQ2100870 /C5DTC030807LN2-05-08-2021-152142753-40892fa8-a390-4523-b954-10ed7158a702-ALM33-39084.xml</v>
      </c>
      <c r="AP1480" t="s">
        <v>2899</v>
      </c>
      <c r="AQ1480" t="s">
        <v>2895</v>
      </c>
      <c r="AR1480" t="s">
        <v>425</v>
      </c>
      <c r="AS1480" t="s">
        <v>2895</v>
      </c>
      <c r="AT1480" s="1">
        <v>44462</v>
      </c>
      <c r="AU1480" s="1">
        <v>44467</v>
      </c>
    </row>
    <row r="1481" spans="1:47" x14ac:dyDescent="0.3">
      <c r="A1481" t="s">
        <v>47</v>
      </c>
      <c r="B1481" t="s">
        <v>48</v>
      </c>
      <c r="C1481" t="s">
        <v>392</v>
      </c>
      <c r="D1481">
        <v>101057</v>
      </c>
      <c r="E1481" t="s">
        <v>2381</v>
      </c>
      <c r="F1481" t="s">
        <v>248</v>
      </c>
      <c r="G1481" t="s">
        <v>2890</v>
      </c>
      <c r="H1481" t="s">
        <v>2897</v>
      </c>
      <c r="I1481" t="s">
        <v>54</v>
      </c>
      <c r="J1481" t="s">
        <v>1883</v>
      </c>
      <c r="K1481" t="s">
        <v>56</v>
      </c>
      <c r="L1481">
        <v>0</v>
      </c>
      <c r="M1481" t="s">
        <v>73</v>
      </c>
      <c r="N1481">
        <v>0</v>
      </c>
      <c r="O1481" t="s">
        <v>58</v>
      </c>
      <c r="P1481" t="s">
        <v>59</v>
      </c>
      <c r="Q1481" t="s">
        <v>408</v>
      </c>
      <c r="R1481" t="s">
        <v>1883</v>
      </c>
      <c r="S1481" s="1">
        <v>44408</v>
      </c>
      <c r="T1481" s="1">
        <v>44414</v>
      </c>
      <c r="U1481">
        <v>37501</v>
      </c>
      <c r="V1481" t="s">
        <v>104</v>
      </c>
      <c r="W1481" t="s">
        <v>2898</v>
      </c>
      <c r="X1481" s="1">
        <v>44462</v>
      </c>
      <c r="Y1481" t="s">
        <v>63</v>
      </c>
      <c r="Z1481">
        <v>546.47</v>
      </c>
      <c r="AA1481">
        <v>16</v>
      </c>
      <c r="AB1481">
        <v>84.89</v>
      </c>
      <c r="AC1481">
        <v>0</v>
      </c>
      <c r="AD1481">
        <v>631.36</v>
      </c>
      <c r="AE1481">
        <v>5686.9</v>
      </c>
      <c r="AF1481">
        <v>7091</v>
      </c>
      <c r="AG1481" t="s">
        <v>2894</v>
      </c>
      <c r="AH1481" t="s">
        <v>65</v>
      </c>
      <c r="AI1481" t="s">
        <v>65</v>
      </c>
      <c r="AJ1481" t="s">
        <v>66</v>
      </c>
      <c r="AK1481" t="s">
        <v>66</v>
      </c>
      <c r="AL1481" t="s">
        <v>66</v>
      </c>
      <c r="AM1481" s="2" t="str">
        <f>HYPERLINK("https://transparencia.cidesi.mx/comprobantes/2021/CQ2100870 /C6DTC030807LN2-05-08-2021-152448767-c7ffcd1e-9585-41e2-8680-49e96a5e61ac-ALM33-39086.pdf")</f>
        <v>https://transparencia.cidesi.mx/comprobantes/2021/CQ2100870 /C6DTC030807LN2-05-08-2021-152448767-c7ffcd1e-9585-41e2-8680-49e96a5e61ac-ALM33-39086.pdf</v>
      </c>
      <c r="AN1481" t="str">
        <f>HYPERLINK("https://transparencia.cidesi.mx/comprobantes/2021/CQ2100870 /C6DTC030807LN2-05-08-2021-152448767-c7ffcd1e-9585-41e2-8680-49e96a5e61ac-ALM33-39086.pdf")</f>
        <v>https://transparencia.cidesi.mx/comprobantes/2021/CQ2100870 /C6DTC030807LN2-05-08-2021-152448767-c7ffcd1e-9585-41e2-8680-49e96a5e61ac-ALM33-39086.pdf</v>
      </c>
      <c r="AO1481" t="str">
        <f>HYPERLINK("https://transparencia.cidesi.mx/comprobantes/2021/CQ2100870 /C6DTC030807LN2-05-08-2021-152448767-c7ffcd1e-9585-41e2-8680-49e96a5e61ac-ALM33-39086.xml")</f>
        <v>https://transparencia.cidesi.mx/comprobantes/2021/CQ2100870 /C6DTC030807LN2-05-08-2021-152448767-c7ffcd1e-9585-41e2-8680-49e96a5e61ac-ALM33-39086.xml</v>
      </c>
      <c r="AP1481" t="s">
        <v>2899</v>
      </c>
      <c r="AQ1481" t="s">
        <v>2895</v>
      </c>
      <c r="AR1481" t="s">
        <v>425</v>
      </c>
      <c r="AS1481" t="s">
        <v>2895</v>
      </c>
      <c r="AT1481" s="1">
        <v>44462</v>
      </c>
      <c r="AU1481" s="1">
        <v>44467</v>
      </c>
    </row>
    <row r="1482" spans="1:47" x14ac:dyDescent="0.3">
      <c r="A1482" t="s">
        <v>47</v>
      </c>
      <c r="B1482" t="s">
        <v>48</v>
      </c>
      <c r="C1482" t="s">
        <v>392</v>
      </c>
      <c r="D1482">
        <v>101057</v>
      </c>
      <c r="E1482" t="s">
        <v>2381</v>
      </c>
      <c r="F1482" t="s">
        <v>248</v>
      </c>
      <c r="G1482" t="s">
        <v>2890</v>
      </c>
      <c r="H1482" t="s">
        <v>2897</v>
      </c>
      <c r="I1482" t="s">
        <v>54</v>
      </c>
      <c r="J1482" t="s">
        <v>1883</v>
      </c>
      <c r="K1482" t="s">
        <v>56</v>
      </c>
      <c r="L1482">
        <v>0</v>
      </c>
      <c r="M1482" t="s">
        <v>73</v>
      </c>
      <c r="N1482">
        <v>0</v>
      </c>
      <c r="O1482" t="s">
        <v>58</v>
      </c>
      <c r="P1482" t="s">
        <v>59</v>
      </c>
      <c r="Q1482" t="s">
        <v>408</v>
      </c>
      <c r="R1482" t="s">
        <v>1883</v>
      </c>
      <c r="S1482" s="1">
        <v>44408</v>
      </c>
      <c r="T1482" s="1">
        <v>44414</v>
      </c>
      <c r="U1482">
        <v>37501</v>
      </c>
      <c r="V1482" t="s">
        <v>61</v>
      </c>
      <c r="W1482" t="s">
        <v>2898</v>
      </c>
      <c r="X1482" s="1">
        <v>44462</v>
      </c>
      <c r="Y1482" t="s">
        <v>63</v>
      </c>
      <c r="Z1482">
        <v>285.33999999999997</v>
      </c>
      <c r="AA1482">
        <v>16</v>
      </c>
      <c r="AB1482">
        <v>45.66</v>
      </c>
      <c r="AC1482">
        <v>0</v>
      </c>
      <c r="AD1482">
        <v>331</v>
      </c>
      <c r="AE1482">
        <v>5686.9</v>
      </c>
      <c r="AF1482">
        <v>7091</v>
      </c>
      <c r="AG1482" t="s">
        <v>2896</v>
      </c>
      <c r="AH1482" t="s">
        <v>65</v>
      </c>
      <c r="AI1482" t="s">
        <v>65</v>
      </c>
      <c r="AJ1482" t="s">
        <v>66</v>
      </c>
      <c r="AK1482" t="s">
        <v>66</v>
      </c>
      <c r="AL1482" t="s">
        <v>66</v>
      </c>
      <c r="AM1482" s="2" t="str">
        <f>HYPERLINK("https://transparencia.cidesi.mx/comprobantes/2021/CQ2100870 /C888e988ff-da58-4f19-8232-2368a1225a0b.pdf")</f>
        <v>https://transparencia.cidesi.mx/comprobantes/2021/CQ2100870 /C888e988ff-da58-4f19-8232-2368a1225a0b.pdf</v>
      </c>
      <c r="AN1482" t="str">
        <f>HYPERLINK("https://transparencia.cidesi.mx/comprobantes/2021/CQ2100870 /C888e988ff-da58-4f19-8232-2368a1225a0b.pdf")</f>
        <v>https://transparencia.cidesi.mx/comprobantes/2021/CQ2100870 /C888e988ff-da58-4f19-8232-2368a1225a0b.pdf</v>
      </c>
      <c r="AO1482" t="str">
        <f>HYPERLINK("https://transparencia.cidesi.mx/comprobantes/2021/CQ2100870 /C888e988ff-da58-4f19-8232-2368a1225a0b.xml")</f>
        <v>https://transparencia.cidesi.mx/comprobantes/2021/CQ2100870 /C888e988ff-da58-4f19-8232-2368a1225a0b.xml</v>
      </c>
      <c r="AP1482" t="s">
        <v>2899</v>
      </c>
      <c r="AQ1482" t="s">
        <v>2895</v>
      </c>
      <c r="AR1482" t="s">
        <v>425</v>
      </c>
      <c r="AS1482" t="s">
        <v>2895</v>
      </c>
      <c r="AT1482" s="1">
        <v>44462</v>
      </c>
      <c r="AU1482" s="1">
        <v>44467</v>
      </c>
    </row>
    <row r="1483" spans="1:47" x14ac:dyDescent="0.3">
      <c r="A1483" t="s">
        <v>47</v>
      </c>
      <c r="B1483" t="s">
        <v>48</v>
      </c>
      <c r="C1483" t="s">
        <v>392</v>
      </c>
      <c r="D1483">
        <v>101057</v>
      </c>
      <c r="E1483" t="s">
        <v>2381</v>
      </c>
      <c r="F1483" t="s">
        <v>248</v>
      </c>
      <c r="G1483" t="s">
        <v>2890</v>
      </c>
      <c r="H1483" t="s">
        <v>2897</v>
      </c>
      <c r="I1483" t="s">
        <v>54</v>
      </c>
      <c r="J1483" t="s">
        <v>1883</v>
      </c>
      <c r="K1483" t="s">
        <v>56</v>
      </c>
      <c r="L1483">
        <v>0</v>
      </c>
      <c r="M1483" t="s">
        <v>73</v>
      </c>
      <c r="N1483">
        <v>0</v>
      </c>
      <c r="O1483" t="s">
        <v>58</v>
      </c>
      <c r="P1483" t="s">
        <v>59</v>
      </c>
      <c r="Q1483" t="s">
        <v>408</v>
      </c>
      <c r="R1483" t="s">
        <v>1883</v>
      </c>
      <c r="S1483" s="1">
        <v>44408</v>
      </c>
      <c r="T1483" s="1">
        <v>44414</v>
      </c>
      <c r="U1483">
        <v>37501</v>
      </c>
      <c r="V1483" t="s">
        <v>61</v>
      </c>
      <c r="W1483" t="s">
        <v>2898</v>
      </c>
      <c r="X1483" s="1">
        <v>44462</v>
      </c>
      <c r="Y1483" t="s">
        <v>63</v>
      </c>
      <c r="Z1483">
        <v>468.1</v>
      </c>
      <c r="AA1483">
        <v>16</v>
      </c>
      <c r="AB1483">
        <v>74.900000000000006</v>
      </c>
      <c r="AC1483">
        <v>0</v>
      </c>
      <c r="AD1483">
        <v>543</v>
      </c>
      <c r="AE1483">
        <v>5686.9</v>
      </c>
      <c r="AF1483">
        <v>7091</v>
      </c>
      <c r="AG1483" t="s">
        <v>2896</v>
      </c>
      <c r="AH1483" t="s">
        <v>65</v>
      </c>
      <c r="AI1483" t="s">
        <v>65</v>
      </c>
      <c r="AJ1483" t="s">
        <v>66</v>
      </c>
      <c r="AK1483" t="s">
        <v>66</v>
      </c>
      <c r="AL1483" t="s">
        <v>66</v>
      </c>
      <c r="AM1483" s="2" t="str">
        <f>HYPERLINK("https://transparencia.cidesi.mx/comprobantes/2021/CQ2100870 /C9cf4af48c-e271-4619-9aad-640c2ab1dbb6.pdf")</f>
        <v>https://transparencia.cidesi.mx/comprobantes/2021/CQ2100870 /C9cf4af48c-e271-4619-9aad-640c2ab1dbb6.pdf</v>
      </c>
      <c r="AN1483" t="str">
        <f>HYPERLINK("https://transparencia.cidesi.mx/comprobantes/2021/CQ2100870 /C9cf4af48c-e271-4619-9aad-640c2ab1dbb6.pdf")</f>
        <v>https://transparencia.cidesi.mx/comprobantes/2021/CQ2100870 /C9cf4af48c-e271-4619-9aad-640c2ab1dbb6.pdf</v>
      </c>
      <c r="AO1483" t="str">
        <f>HYPERLINK("https://transparencia.cidesi.mx/comprobantes/2021/CQ2100870 /C9cf4af48c-e271-4619-9aad-640c2ab1dbb6.xml")</f>
        <v>https://transparencia.cidesi.mx/comprobantes/2021/CQ2100870 /C9cf4af48c-e271-4619-9aad-640c2ab1dbb6.xml</v>
      </c>
      <c r="AP1483" t="s">
        <v>2899</v>
      </c>
      <c r="AQ1483" t="s">
        <v>2895</v>
      </c>
      <c r="AR1483" t="s">
        <v>425</v>
      </c>
      <c r="AS1483" t="s">
        <v>2895</v>
      </c>
      <c r="AT1483" s="1">
        <v>44462</v>
      </c>
      <c r="AU1483" s="1">
        <v>44467</v>
      </c>
    </row>
    <row r="1484" spans="1:47" x14ac:dyDescent="0.3">
      <c r="A1484" t="s">
        <v>47</v>
      </c>
      <c r="B1484" t="s">
        <v>48</v>
      </c>
      <c r="C1484" t="s">
        <v>392</v>
      </c>
      <c r="D1484">
        <v>101057</v>
      </c>
      <c r="E1484" t="s">
        <v>2381</v>
      </c>
      <c r="F1484" t="s">
        <v>248</v>
      </c>
      <c r="G1484" t="s">
        <v>2890</v>
      </c>
      <c r="H1484" t="s">
        <v>2897</v>
      </c>
      <c r="I1484" t="s">
        <v>54</v>
      </c>
      <c r="J1484" t="s">
        <v>1883</v>
      </c>
      <c r="K1484" t="s">
        <v>56</v>
      </c>
      <c r="L1484">
        <v>0</v>
      </c>
      <c r="M1484" t="s">
        <v>73</v>
      </c>
      <c r="N1484">
        <v>0</v>
      </c>
      <c r="O1484" t="s">
        <v>58</v>
      </c>
      <c r="P1484" t="s">
        <v>59</v>
      </c>
      <c r="Q1484" t="s">
        <v>408</v>
      </c>
      <c r="R1484" t="s">
        <v>1883</v>
      </c>
      <c r="S1484" s="1">
        <v>44408</v>
      </c>
      <c r="T1484" s="1">
        <v>44414</v>
      </c>
      <c r="U1484">
        <v>37501</v>
      </c>
      <c r="V1484" t="s">
        <v>61</v>
      </c>
      <c r="W1484" t="s">
        <v>2898</v>
      </c>
      <c r="X1484" s="1">
        <v>44462</v>
      </c>
      <c r="Y1484" t="s">
        <v>63</v>
      </c>
      <c r="Z1484">
        <v>556.04</v>
      </c>
      <c r="AA1484">
        <v>16</v>
      </c>
      <c r="AB1484">
        <v>88.97</v>
      </c>
      <c r="AC1484">
        <v>0</v>
      </c>
      <c r="AD1484">
        <v>645.01</v>
      </c>
      <c r="AE1484">
        <v>5686.9</v>
      </c>
      <c r="AF1484">
        <v>7091</v>
      </c>
      <c r="AG1484" t="s">
        <v>2896</v>
      </c>
      <c r="AH1484" t="s">
        <v>65</v>
      </c>
      <c r="AI1484" t="s">
        <v>65</v>
      </c>
      <c r="AJ1484" t="s">
        <v>66</v>
      </c>
      <c r="AK1484" t="s">
        <v>66</v>
      </c>
      <c r="AL1484" t="s">
        <v>66</v>
      </c>
      <c r="AM1484" s="2" t="str">
        <f>HYPERLINK("https://transparencia.cidesi.mx/comprobantes/2021/CQ2100870 /C12aaa19435-495a-4f50-8fc8-fd4f47fb3994.pdf")</f>
        <v>https://transparencia.cidesi.mx/comprobantes/2021/CQ2100870 /C12aaa19435-495a-4f50-8fc8-fd4f47fb3994.pdf</v>
      </c>
      <c r="AN1484" t="str">
        <f>HYPERLINK("https://transparencia.cidesi.mx/comprobantes/2021/CQ2100870 /C12aaa19435-495a-4f50-8fc8-fd4f47fb3994.pdf")</f>
        <v>https://transparencia.cidesi.mx/comprobantes/2021/CQ2100870 /C12aaa19435-495a-4f50-8fc8-fd4f47fb3994.pdf</v>
      </c>
      <c r="AO1484" t="str">
        <f>HYPERLINK("https://transparencia.cidesi.mx/comprobantes/2021/CQ2100870 /C12aaa19435-495a-4f50-8fc8-fd4f47fb3994.xml")</f>
        <v>https://transparencia.cidesi.mx/comprobantes/2021/CQ2100870 /C12aaa19435-495a-4f50-8fc8-fd4f47fb3994.xml</v>
      </c>
      <c r="AP1484" t="s">
        <v>2899</v>
      </c>
      <c r="AQ1484" t="s">
        <v>2895</v>
      </c>
      <c r="AR1484" t="s">
        <v>425</v>
      </c>
      <c r="AS1484" t="s">
        <v>2895</v>
      </c>
      <c r="AT1484" s="1">
        <v>44462</v>
      </c>
      <c r="AU1484" s="1">
        <v>44467</v>
      </c>
    </row>
    <row r="1485" spans="1:47" x14ac:dyDescent="0.3">
      <c r="A1485" t="s">
        <v>47</v>
      </c>
      <c r="B1485" t="s">
        <v>48</v>
      </c>
      <c r="C1485" t="s">
        <v>392</v>
      </c>
      <c r="D1485">
        <v>101057</v>
      </c>
      <c r="E1485" t="s">
        <v>2381</v>
      </c>
      <c r="F1485" t="s">
        <v>248</v>
      </c>
      <c r="G1485" t="s">
        <v>2890</v>
      </c>
      <c r="H1485" t="s">
        <v>2897</v>
      </c>
      <c r="I1485" t="s">
        <v>54</v>
      </c>
      <c r="J1485" t="s">
        <v>1883</v>
      </c>
      <c r="K1485" t="s">
        <v>56</v>
      </c>
      <c r="L1485">
        <v>0</v>
      </c>
      <c r="M1485" t="s">
        <v>73</v>
      </c>
      <c r="N1485">
        <v>0</v>
      </c>
      <c r="O1485" t="s">
        <v>58</v>
      </c>
      <c r="P1485" t="s">
        <v>59</v>
      </c>
      <c r="Q1485" t="s">
        <v>408</v>
      </c>
      <c r="R1485" t="s">
        <v>1883</v>
      </c>
      <c r="S1485" s="1">
        <v>44408</v>
      </c>
      <c r="T1485" s="1">
        <v>44414</v>
      </c>
      <c r="U1485">
        <v>37501</v>
      </c>
      <c r="V1485" t="s">
        <v>61</v>
      </c>
      <c r="W1485" t="s">
        <v>2898</v>
      </c>
      <c r="X1485" s="1">
        <v>44462</v>
      </c>
      <c r="Y1485" t="s">
        <v>63</v>
      </c>
      <c r="Z1485">
        <v>301.72000000000003</v>
      </c>
      <c r="AA1485">
        <v>16</v>
      </c>
      <c r="AB1485">
        <v>48.28</v>
      </c>
      <c r="AC1485">
        <v>0</v>
      </c>
      <c r="AD1485">
        <v>350</v>
      </c>
      <c r="AE1485">
        <v>5686.9</v>
      </c>
      <c r="AF1485">
        <v>7091</v>
      </c>
      <c r="AG1485" t="s">
        <v>2896</v>
      </c>
      <c r="AH1485" t="s">
        <v>65</v>
      </c>
      <c r="AI1485" t="s">
        <v>65</v>
      </c>
      <c r="AJ1485" t="s">
        <v>66</v>
      </c>
      <c r="AK1485" t="s">
        <v>66</v>
      </c>
      <c r="AL1485" t="s">
        <v>66</v>
      </c>
      <c r="AM1485" s="2" t="str">
        <f>HYPERLINK("https://transparencia.cidesi.mx/comprobantes/2021/CQ2100870 /C13DTC030807LN2-05-08-2021-153224401-e19c89d0-3bbb-4bdd-b0d2-1837420cdc26-R33-13498.pdf")</f>
        <v>https://transparencia.cidesi.mx/comprobantes/2021/CQ2100870 /C13DTC030807LN2-05-08-2021-153224401-e19c89d0-3bbb-4bdd-b0d2-1837420cdc26-R33-13498.pdf</v>
      </c>
      <c r="AN1485" t="str">
        <f>HYPERLINK("https://transparencia.cidesi.mx/comprobantes/2021/CQ2100870 /C13DTC030807LN2-05-08-2021-153224401-e19c89d0-3bbb-4bdd-b0d2-1837420cdc26-R33-13498.pdf")</f>
        <v>https://transparencia.cidesi.mx/comprobantes/2021/CQ2100870 /C13DTC030807LN2-05-08-2021-153224401-e19c89d0-3bbb-4bdd-b0d2-1837420cdc26-R33-13498.pdf</v>
      </c>
      <c r="AO1485" t="str">
        <f>HYPERLINK("https://transparencia.cidesi.mx/comprobantes/2021/CQ2100870 /C13DTC030807LN2-05-08-2021-153224401-e19c89d0-3bbb-4bdd-b0d2-1837420cdc26-R33-13498.xml")</f>
        <v>https://transparencia.cidesi.mx/comprobantes/2021/CQ2100870 /C13DTC030807LN2-05-08-2021-153224401-e19c89d0-3bbb-4bdd-b0d2-1837420cdc26-R33-13498.xml</v>
      </c>
      <c r="AP1485" t="s">
        <v>2899</v>
      </c>
      <c r="AQ1485" t="s">
        <v>2895</v>
      </c>
      <c r="AR1485" t="s">
        <v>425</v>
      </c>
      <c r="AS1485" t="s">
        <v>2895</v>
      </c>
      <c r="AT1485" s="1">
        <v>44462</v>
      </c>
      <c r="AU1485" s="1">
        <v>44467</v>
      </c>
    </row>
    <row r="1486" spans="1:47" x14ac:dyDescent="0.3">
      <c r="A1486" t="s">
        <v>47</v>
      </c>
      <c r="B1486" t="s">
        <v>48</v>
      </c>
      <c r="C1486" t="s">
        <v>392</v>
      </c>
      <c r="D1486">
        <v>101057</v>
      </c>
      <c r="E1486" t="s">
        <v>2381</v>
      </c>
      <c r="F1486" t="s">
        <v>248</v>
      </c>
      <c r="G1486" t="s">
        <v>2890</v>
      </c>
      <c r="H1486" t="s">
        <v>2897</v>
      </c>
      <c r="I1486" t="s">
        <v>54</v>
      </c>
      <c r="J1486" t="s">
        <v>1883</v>
      </c>
      <c r="K1486" t="s">
        <v>56</v>
      </c>
      <c r="L1486">
        <v>0</v>
      </c>
      <c r="M1486" t="s">
        <v>73</v>
      </c>
      <c r="N1486">
        <v>0</v>
      </c>
      <c r="O1486" t="s">
        <v>58</v>
      </c>
      <c r="P1486" t="s">
        <v>59</v>
      </c>
      <c r="Q1486" t="s">
        <v>408</v>
      </c>
      <c r="R1486" t="s">
        <v>1883</v>
      </c>
      <c r="S1486" s="1">
        <v>44408</v>
      </c>
      <c r="T1486" s="1">
        <v>44414</v>
      </c>
      <c r="U1486">
        <v>37501</v>
      </c>
      <c r="V1486" t="s">
        <v>61</v>
      </c>
      <c r="W1486" t="s">
        <v>2898</v>
      </c>
      <c r="X1486" s="1">
        <v>44462</v>
      </c>
      <c r="Y1486" t="s">
        <v>63</v>
      </c>
      <c r="Z1486">
        <v>331.04</v>
      </c>
      <c r="AA1486">
        <v>16</v>
      </c>
      <c r="AB1486">
        <v>52.97</v>
      </c>
      <c r="AC1486">
        <v>0</v>
      </c>
      <c r="AD1486">
        <v>384.01</v>
      </c>
      <c r="AE1486">
        <v>5686.9</v>
      </c>
      <c r="AF1486">
        <v>7091</v>
      </c>
      <c r="AG1486" t="s">
        <v>2896</v>
      </c>
      <c r="AH1486" t="s">
        <v>65</v>
      </c>
      <c r="AI1486" t="s">
        <v>65</v>
      </c>
      <c r="AJ1486" t="s">
        <v>66</v>
      </c>
      <c r="AK1486" t="s">
        <v>66</v>
      </c>
      <c r="AL1486" t="s">
        <v>66</v>
      </c>
      <c r="AM1486" s="2" t="str">
        <f>HYPERLINK("https://transparencia.cidesi.mx/comprobantes/2021/CQ2100870 /C14SIGN_RAM160311H56_A439_CID840309UG7.pdf")</f>
        <v>https://transparencia.cidesi.mx/comprobantes/2021/CQ2100870 /C14SIGN_RAM160311H56_A439_CID840309UG7.pdf</v>
      </c>
      <c r="AN1486" t="str">
        <f>HYPERLINK("https://transparencia.cidesi.mx/comprobantes/2021/CQ2100870 /C14SIGN_RAM160311H56_A439_CID840309UG7.pdf")</f>
        <v>https://transparencia.cidesi.mx/comprobantes/2021/CQ2100870 /C14SIGN_RAM160311H56_A439_CID840309UG7.pdf</v>
      </c>
      <c r="AO1486" t="str">
        <f>HYPERLINK("https://transparencia.cidesi.mx/comprobantes/2021/CQ2100870 /C14SIGN_RAM160311H56_A439_CID840309UG7.xml")</f>
        <v>https://transparencia.cidesi.mx/comprobantes/2021/CQ2100870 /C14SIGN_RAM160311H56_A439_CID840309UG7.xml</v>
      </c>
      <c r="AP1486" t="s">
        <v>2899</v>
      </c>
      <c r="AQ1486" t="s">
        <v>2895</v>
      </c>
      <c r="AR1486" t="s">
        <v>425</v>
      </c>
      <c r="AS1486" t="s">
        <v>2895</v>
      </c>
      <c r="AT1486" s="1">
        <v>44462</v>
      </c>
      <c r="AU1486" s="1">
        <v>44467</v>
      </c>
    </row>
    <row r="1487" spans="1:47" x14ac:dyDescent="0.3">
      <c r="A1487" t="s">
        <v>47</v>
      </c>
      <c r="B1487" t="s">
        <v>48</v>
      </c>
      <c r="C1487" t="s">
        <v>392</v>
      </c>
      <c r="D1487">
        <v>101057</v>
      </c>
      <c r="E1487" t="s">
        <v>2381</v>
      </c>
      <c r="F1487" t="s">
        <v>248</v>
      </c>
      <c r="G1487" t="s">
        <v>2890</v>
      </c>
      <c r="H1487" t="s">
        <v>2897</v>
      </c>
      <c r="I1487" t="s">
        <v>54</v>
      </c>
      <c r="J1487" t="s">
        <v>1883</v>
      </c>
      <c r="K1487" t="s">
        <v>56</v>
      </c>
      <c r="L1487">
        <v>0</v>
      </c>
      <c r="M1487" t="s">
        <v>73</v>
      </c>
      <c r="N1487">
        <v>0</v>
      </c>
      <c r="O1487" t="s">
        <v>58</v>
      </c>
      <c r="P1487" t="s">
        <v>59</v>
      </c>
      <c r="Q1487" t="s">
        <v>408</v>
      </c>
      <c r="R1487" t="s">
        <v>1883</v>
      </c>
      <c r="S1487" s="1">
        <v>44408</v>
      </c>
      <c r="T1487" s="1">
        <v>44414</v>
      </c>
      <c r="U1487">
        <v>37501</v>
      </c>
      <c r="V1487" t="s">
        <v>61</v>
      </c>
      <c r="W1487" t="s">
        <v>2898</v>
      </c>
      <c r="X1487" s="1">
        <v>44462</v>
      </c>
      <c r="Y1487" t="s">
        <v>63</v>
      </c>
      <c r="Z1487">
        <v>171.12</v>
      </c>
      <c r="AA1487">
        <v>16</v>
      </c>
      <c r="AB1487">
        <v>27.38</v>
      </c>
      <c r="AC1487">
        <v>0</v>
      </c>
      <c r="AD1487">
        <v>198.5</v>
      </c>
      <c r="AE1487">
        <v>5686.9</v>
      </c>
      <c r="AF1487">
        <v>7091</v>
      </c>
      <c r="AG1487" t="s">
        <v>2896</v>
      </c>
      <c r="AH1487" t="s">
        <v>65</v>
      </c>
      <c r="AI1487" t="s">
        <v>65</v>
      </c>
      <c r="AJ1487" t="s">
        <v>66</v>
      </c>
      <c r="AK1487" t="s">
        <v>66</v>
      </c>
      <c r="AL1487" t="s">
        <v>66</v>
      </c>
      <c r="AM1487" s="2" t="str">
        <f>HYPERLINK("https://transparencia.cidesi.mx/comprobantes/2021/CQ2100870 /C15PPC9301185P5_WBG_61112.pdf")</f>
        <v>https://transparencia.cidesi.mx/comprobantes/2021/CQ2100870 /C15PPC9301185P5_WBG_61112.pdf</v>
      </c>
      <c r="AN1487" t="str">
        <f>HYPERLINK("https://transparencia.cidesi.mx/comprobantes/2021/CQ2100870 /C15PPC9301185P5_WBG_61112.pdf")</f>
        <v>https://transparencia.cidesi.mx/comprobantes/2021/CQ2100870 /C15PPC9301185P5_WBG_61112.pdf</v>
      </c>
      <c r="AO1487" t="str">
        <f>HYPERLINK("https://transparencia.cidesi.mx/comprobantes/2021/CQ2100870 /C15PPC9301185P5_WBG_61112.xml")</f>
        <v>https://transparencia.cidesi.mx/comprobantes/2021/CQ2100870 /C15PPC9301185P5_WBG_61112.xml</v>
      </c>
      <c r="AP1487" t="s">
        <v>2899</v>
      </c>
      <c r="AQ1487" t="s">
        <v>2895</v>
      </c>
      <c r="AR1487" t="s">
        <v>425</v>
      </c>
      <c r="AS1487" t="s">
        <v>2895</v>
      </c>
      <c r="AT1487" s="1">
        <v>44462</v>
      </c>
      <c r="AU1487" s="1">
        <v>44467</v>
      </c>
    </row>
    <row r="1488" spans="1:47" x14ac:dyDescent="0.3">
      <c r="A1488" t="s">
        <v>47</v>
      </c>
      <c r="B1488" t="s">
        <v>48</v>
      </c>
      <c r="C1488" t="s">
        <v>392</v>
      </c>
      <c r="D1488">
        <v>101057</v>
      </c>
      <c r="E1488" t="s">
        <v>2381</v>
      </c>
      <c r="F1488" t="s">
        <v>248</v>
      </c>
      <c r="G1488" t="s">
        <v>2890</v>
      </c>
      <c r="H1488" t="s">
        <v>2900</v>
      </c>
      <c r="I1488" t="s">
        <v>54</v>
      </c>
      <c r="J1488" t="s">
        <v>2901</v>
      </c>
      <c r="K1488" t="s">
        <v>56</v>
      </c>
      <c r="L1488">
        <v>0</v>
      </c>
      <c r="M1488" t="s">
        <v>73</v>
      </c>
      <c r="N1488">
        <v>0</v>
      </c>
      <c r="O1488" t="s">
        <v>58</v>
      </c>
      <c r="P1488" t="s">
        <v>59</v>
      </c>
      <c r="Q1488" t="s">
        <v>60</v>
      </c>
      <c r="R1488" t="s">
        <v>2901</v>
      </c>
      <c r="S1488" s="1">
        <v>44447</v>
      </c>
      <c r="T1488" s="1">
        <v>44447</v>
      </c>
      <c r="U1488">
        <v>37501</v>
      </c>
      <c r="V1488" t="s">
        <v>61</v>
      </c>
      <c r="W1488" t="s">
        <v>2902</v>
      </c>
      <c r="X1488" s="1">
        <v>44450</v>
      </c>
      <c r="Y1488" t="s">
        <v>63</v>
      </c>
      <c r="Z1488">
        <v>466.66</v>
      </c>
      <c r="AA1488">
        <v>16</v>
      </c>
      <c r="AB1488">
        <v>78.34</v>
      </c>
      <c r="AC1488">
        <v>0</v>
      </c>
      <c r="AD1488">
        <v>545</v>
      </c>
      <c r="AE1488">
        <v>545</v>
      </c>
      <c r="AF1488">
        <v>545</v>
      </c>
      <c r="AG1488" t="s">
        <v>2896</v>
      </c>
      <c r="AH1488" t="s">
        <v>65</v>
      </c>
      <c r="AI1488" t="s">
        <v>65</v>
      </c>
      <c r="AJ1488" t="s">
        <v>66</v>
      </c>
      <c r="AK1488" t="s">
        <v>66</v>
      </c>
      <c r="AL1488" t="s">
        <v>66</v>
      </c>
      <c r="AM1488" s="2" t="str">
        <f>HYPERLINK("https://transparencia.cidesi.mx/comprobantes/2021/CQ2100785 /C170200936.pdf")</f>
        <v>https://transparencia.cidesi.mx/comprobantes/2021/CQ2100785 /C170200936.pdf</v>
      </c>
      <c r="AN1488" t="str">
        <f>HYPERLINK("https://transparencia.cidesi.mx/comprobantes/2021/CQ2100785 /C170200936.pdf")</f>
        <v>https://transparencia.cidesi.mx/comprobantes/2021/CQ2100785 /C170200936.pdf</v>
      </c>
      <c r="AO1488" t="str">
        <f>HYPERLINK("https://transparencia.cidesi.mx/comprobantes/2021/CQ2100785 /C170200936.xml")</f>
        <v>https://transparencia.cidesi.mx/comprobantes/2021/CQ2100785 /C170200936.xml</v>
      </c>
      <c r="AP1488" t="s">
        <v>2903</v>
      </c>
      <c r="AQ1488" t="s">
        <v>2903</v>
      </c>
      <c r="AR1488" t="s">
        <v>425</v>
      </c>
      <c r="AS1488" t="s">
        <v>2903</v>
      </c>
      <c r="AT1488" s="1">
        <v>44452</v>
      </c>
      <c r="AU1488" s="1">
        <v>44467</v>
      </c>
    </row>
    <row r="1489" spans="1:47" x14ac:dyDescent="0.3">
      <c r="A1489" t="s">
        <v>47</v>
      </c>
      <c r="B1489" t="s">
        <v>224</v>
      </c>
      <c r="C1489" t="s">
        <v>225</v>
      </c>
      <c r="D1489">
        <v>101099</v>
      </c>
      <c r="E1489" t="s">
        <v>2904</v>
      </c>
      <c r="F1489" t="s">
        <v>2905</v>
      </c>
      <c r="G1489" t="s">
        <v>1678</v>
      </c>
      <c r="H1489" t="s">
        <v>2906</v>
      </c>
      <c r="I1489" t="s">
        <v>54</v>
      </c>
      <c r="J1489" t="s">
        <v>2907</v>
      </c>
      <c r="K1489" t="s">
        <v>56</v>
      </c>
      <c r="L1489">
        <v>0</v>
      </c>
      <c r="M1489" t="s">
        <v>73</v>
      </c>
      <c r="N1489">
        <v>0</v>
      </c>
      <c r="O1489" t="s">
        <v>58</v>
      </c>
      <c r="P1489" t="s">
        <v>59</v>
      </c>
      <c r="Q1489" t="s">
        <v>252</v>
      </c>
      <c r="R1489" t="s">
        <v>2907</v>
      </c>
      <c r="S1489" s="1">
        <v>44378</v>
      </c>
      <c r="T1489" s="1">
        <v>44378</v>
      </c>
      <c r="U1489">
        <v>37501</v>
      </c>
      <c r="V1489" t="s">
        <v>61</v>
      </c>
      <c r="W1489" t="s">
        <v>2908</v>
      </c>
      <c r="X1489" s="1">
        <v>44383</v>
      </c>
      <c r="Y1489" t="s">
        <v>63</v>
      </c>
      <c r="Z1489">
        <v>101.71</v>
      </c>
      <c r="AA1489">
        <v>16</v>
      </c>
      <c r="AB1489">
        <v>1.79</v>
      </c>
      <c r="AC1489">
        <v>0</v>
      </c>
      <c r="AD1489">
        <v>103.5</v>
      </c>
      <c r="AE1489">
        <v>533.6</v>
      </c>
      <c r="AF1489">
        <v>545</v>
      </c>
      <c r="AG1489" t="s">
        <v>2909</v>
      </c>
      <c r="AH1489" t="s">
        <v>65</v>
      </c>
      <c r="AI1489" t="s">
        <v>65</v>
      </c>
      <c r="AJ1489" t="s">
        <v>66</v>
      </c>
      <c r="AK1489" t="s">
        <v>66</v>
      </c>
      <c r="AL1489" t="s">
        <v>66</v>
      </c>
      <c r="AM1489" s="2" t="str">
        <f>HYPERLINK("https://transparencia.cidesi.mx/comprobantes/2021/CQ2100465 /C1FACTURA_1625199491600_335961563.pdf")</f>
        <v>https://transparencia.cidesi.mx/comprobantes/2021/CQ2100465 /C1FACTURA_1625199491600_335961563.pdf</v>
      </c>
      <c r="AN1489" t="str">
        <f>HYPERLINK("https://transparencia.cidesi.mx/comprobantes/2021/CQ2100465 /C1FACTURA_1625199491600_335961563.pdf")</f>
        <v>https://transparencia.cidesi.mx/comprobantes/2021/CQ2100465 /C1FACTURA_1625199491600_335961563.pdf</v>
      </c>
      <c r="AO1489" t="str">
        <f>HYPERLINK("https://transparencia.cidesi.mx/comprobantes/2021/CQ2100465 /C1FACTURA_1625199491600_335961563.xml")</f>
        <v>https://transparencia.cidesi.mx/comprobantes/2021/CQ2100465 /C1FACTURA_1625199491600_335961563.xml</v>
      </c>
      <c r="AP1489" t="s">
        <v>2910</v>
      </c>
      <c r="AQ1489" t="s">
        <v>2911</v>
      </c>
      <c r="AR1489" t="s">
        <v>2912</v>
      </c>
      <c r="AS1489" t="s">
        <v>2912</v>
      </c>
      <c r="AT1489" s="1">
        <v>44385</v>
      </c>
      <c r="AU1489" s="1">
        <v>44389</v>
      </c>
    </row>
    <row r="1490" spans="1:47" x14ac:dyDescent="0.3">
      <c r="A1490" t="s">
        <v>47</v>
      </c>
      <c r="B1490" t="s">
        <v>224</v>
      </c>
      <c r="C1490" t="s">
        <v>225</v>
      </c>
      <c r="D1490">
        <v>101099</v>
      </c>
      <c r="E1490" t="s">
        <v>2904</v>
      </c>
      <c r="F1490" t="s">
        <v>2905</v>
      </c>
      <c r="G1490" t="s">
        <v>1678</v>
      </c>
      <c r="H1490" t="s">
        <v>2906</v>
      </c>
      <c r="I1490" t="s">
        <v>54</v>
      </c>
      <c r="J1490" t="s">
        <v>2907</v>
      </c>
      <c r="K1490" t="s">
        <v>56</v>
      </c>
      <c r="L1490">
        <v>0</v>
      </c>
      <c r="M1490" t="s">
        <v>73</v>
      </c>
      <c r="N1490">
        <v>0</v>
      </c>
      <c r="O1490" t="s">
        <v>58</v>
      </c>
      <c r="P1490" t="s">
        <v>59</v>
      </c>
      <c r="Q1490" t="s">
        <v>252</v>
      </c>
      <c r="R1490" t="s">
        <v>2907</v>
      </c>
      <c r="S1490" s="1">
        <v>44378</v>
      </c>
      <c r="T1490" s="1">
        <v>44378</v>
      </c>
      <c r="U1490">
        <v>37501</v>
      </c>
      <c r="V1490" t="s">
        <v>61</v>
      </c>
      <c r="W1490" t="s">
        <v>2908</v>
      </c>
      <c r="X1490" s="1">
        <v>44383</v>
      </c>
      <c r="Y1490" t="s">
        <v>63</v>
      </c>
      <c r="Z1490">
        <v>370.78</v>
      </c>
      <c r="AA1490">
        <v>16</v>
      </c>
      <c r="AB1490">
        <v>59.32</v>
      </c>
      <c r="AC1490">
        <v>0</v>
      </c>
      <c r="AD1490">
        <v>430.1</v>
      </c>
      <c r="AE1490">
        <v>533.6</v>
      </c>
      <c r="AF1490">
        <v>545</v>
      </c>
      <c r="AG1490" t="s">
        <v>2909</v>
      </c>
      <c r="AH1490" t="s">
        <v>65</v>
      </c>
      <c r="AI1490" t="s">
        <v>65</v>
      </c>
      <c r="AJ1490" t="s">
        <v>66</v>
      </c>
      <c r="AK1490" t="s">
        <v>66</v>
      </c>
      <c r="AL1490" t="s">
        <v>66</v>
      </c>
      <c r="AM1490" s="2" t="str">
        <f>HYPERLINK("https://transparencia.cidesi.mx/comprobantes/2021/CQ2100465 /C2CID840309UG7FA0000034487.pdf")</f>
        <v>https://transparencia.cidesi.mx/comprobantes/2021/CQ2100465 /C2CID840309UG7FA0000034487.pdf</v>
      </c>
      <c r="AN1490" t="str">
        <f>HYPERLINK("https://transparencia.cidesi.mx/comprobantes/2021/CQ2100465 /C2CID840309UG7FA0000034487.pdf")</f>
        <v>https://transparencia.cidesi.mx/comprobantes/2021/CQ2100465 /C2CID840309UG7FA0000034487.pdf</v>
      </c>
      <c r="AO1490" t="str">
        <f>HYPERLINK("https://transparencia.cidesi.mx/comprobantes/2021/CQ2100465 /C2CID840309UG7FA0000034487.xml")</f>
        <v>https://transparencia.cidesi.mx/comprobantes/2021/CQ2100465 /C2CID840309UG7FA0000034487.xml</v>
      </c>
      <c r="AP1490" t="s">
        <v>2910</v>
      </c>
      <c r="AQ1490" t="s">
        <v>2911</v>
      </c>
      <c r="AR1490" t="s">
        <v>2912</v>
      </c>
      <c r="AS1490" t="s">
        <v>2912</v>
      </c>
      <c r="AT1490" s="1">
        <v>44385</v>
      </c>
      <c r="AU1490" s="1">
        <v>44389</v>
      </c>
    </row>
    <row r="1491" spans="1:47" x14ac:dyDescent="0.3">
      <c r="A1491" t="s">
        <v>47</v>
      </c>
      <c r="B1491" t="s">
        <v>224</v>
      </c>
      <c r="C1491" t="s">
        <v>225</v>
      </c>
      <c r="D1491">
        <v>101099</v>
      </c>
      <c r="E1491" t="s">
        <v>2904</v>
      </c>
      <c r="F1491" t="s">
        <v>2905</v>
      </c>
      <c r="G1491" t="s">
        <v>1678</v>
      </c>
      <c r="H1491" t="s">
        <v>2913</v>
      </c>
      <c r="I1491" t="s">
        <v>54</v>
      </c>
      <c r="J1491" t="s">
        <v>2914</v>
      </c>
      <c r="K1491" t="s">
        <v>56</v>
      </c>
      <c r="L1491">
        <v>0</v>
      </c>
      <c r="M1491" t="s">
        <v>73</v>
      </c>
      <c r="N1491">
        <v>0</v>
      </c>
      <c r="O1491" t="s">
        <v>58</v>
      </c>
      <c r="P1491" t="s">
        <v>59</v>
      </c>
      <c r="Q1491" t="s">
        <v>216</v>
      </c>
      <c r="R1491" t="s">
        <v>2914</v>
      </c>
      <c r="S1491" s="1">
        <v>44379</v>
      </c>
      <c r="T1491" s="1">
        <v>44379</v>
      </c>
      <c r="U1491">
        <v>37501</v>
      </c>
      <c r="V1491" t="s">
        <v>61</v>
      </c>
      <c r="W1491" t="s">
        <v>2915</v>
      </c>
      <c r="X1491" s="1">
        <v>44383</v>
      </c>
      <c r="Y1491" t="s">
        <v>63</v>
      </c>
      <c r="Z1491">
        <v>383</v>
      </c>
      <c r="AA1491">
        <v>16</v>
      </c>
      <c r="AB1491">
        <v>61.28</v>
      </c>
      <c r="AC1491">
        <v>0</v>
      </c>
      <c r="AD1491">
        <v>444.28</v>
      </c>
      <c r="AE1491">
        <v>519.78</v>
      </c>
      <c r="AF1491">
        <v>545</v>
      </c>
      <c r="AG1491" t="s">
        <v>2909</v>
      </c>
      <c r="AH1491" t="s">
        <v>65</v>
      </c>
      <c r="AI1491" t="s">
        <v>65</v>
      </c>
      <c r="AJ1491" t="s">
        <v>66</v>
      </c>
      <c r="AK1491" t="s">
        <v>66</v>
      </c>
      <c r="AL1491" t="s">
        <v>66</v>
      </c>
      <c r="AM1491" s="2" t="str">
        <f>HYPERLINK("https://transparencia.cidesi.mx/comprobantes/2021/CQ2100467 /C1fc55330F.pdf")</f>
        <v>https://transparencia.cidesi.mx/comprobantes/2021/CQ2100467 /C1fc55330F.pdf</v>
      </c>
      <c r="AN1491" t="str">
        <f>HYPERLINK("https://transparencia.cidesi.mx/comprobantes/2021/CQ2100467 /C1fc55330F.pdf")</f>
        <v>https://transparencia.cidesi.mx/comprobantes/2021/CQ2100467 /C1fc55330F.pdf</v>
      </c>
      <c r="AO1491" t="str">
        <f>HYPERLINK("https://transparencia.cidesi.mx/comprobantes/2021/CQ2100467 /C155330F_xml.xml")</f>
        <v>https://transparencia.cidesi.mx/comprobantes/2021/CQ2100467 /C155330F_xml.xml</v>
      </c>
      <c r="AP1491" t="s">
        <v>2916</v>
      </c>
      <c r="AQ1491" t="s">
        <v>2917</v>
      </c>
      <c r="AR1491" t="s">
        <v>2917</v>
      </c>
      <c r="AS1491" t="s">
        <v>2917</v>
      </c>
      <c r="AT1491" s="1">
        <v>44385</v>
      </c>
      <c r="AU1491" s="1">
        <v>44389</v>
      </c>
    </row>
    <row r="1492" spans="1:47" x14ac:dyDescent="0.3">
      <c r="A1492" t="s">
        <v>47</v>
      </c>
      <c r="B1492" t="s">
        <v>224</v>
      </c>
      <c r="C1492" t="s">
        <v>225</v>
      </c>
      <c r="D1492">
        <v>101099</v>
      </c>
      <c r="E1492" t="s">
        <v>2904</v>
      </c>
      <c r="F1492" t="s">
        <v>2905</v>
      </c>
      <c r="G1492" t="s">
        <v>1678</v>
      </c>
      <c r="H1492" t="s">
        <v>2913</v>
      </c>
      <c r="I1492" t="s">
        <v>54</v>
      </c>
      <c r="J1492" t="s">
        <v>2914</v>
      </c>
      <c r="K1492" t="s">
        <v>56</v>
      </c>
      <c r="L1492">
        <v>0</v>
      </c>
      <c r="M1492" t="s">
        <v>73</v>
      </c>
      <c r="N1492">
        <v>0</v>
      </c>
      <c r="O1492" t="s">
        <v>58</v>
      </c>
      <c r="P1492" t="s">
        <v>59</v>
      </c>
      <c r="Q1492" t="s">
        <v>216</v>
      </c>
      <c r="R1492" t="s">
        <v>2914</v>
      </c>
      <c r="S1492" s="1">
        <v>44379</v>
      </c>
      <c r="T1492" s="1">
        <v>44379</v>
      </c>
      <c r="U1492">
        <v>37501</v>
      </c>
      <c r="V1492" t="s">
        <v>61</v>
      </c>
      <c r="W1492" t="s">
        <v>2915</v>
      </c>
      <c r="X1492" s="1">
        <v>44383</v>
      </c>
      <c r="Y1492" t="s">
        <v>63</v>
      </c>
      <c r="Z1492">
        <v>67.150000000000006</v>
      </c>
      <c r="AA1492">
        <v>16</v>
      </c>
      <c r="AB1492">
        <v>8.35</v>
      </c>
      <c r="AC1492">
        <v>0</v>
      </c>
      <c r="AD1492">
        <v>75.5</v>
      </c>
      <c r="AE1492">
        <v>519.78</v>
      </c>
      <c r="AF1492">
        <v>545</v>
      </c>
      <c r="AG1492" t="s">
        <v>2909</v>
      </c>
      <c r="AH1492" t="s">
        <v>65</v>
      </c>
      <c r="AI1492" t="s">
        <v>65</v>
      </c>
      <c r="AJ1492" t="s">
        <v>66</v>
      </c>
      <c r="AK1492" t="s">
        <v>66</v>
      </c>
      <c r="AL1492" t="s">
        <v>66</v>
      </c>
      <c r="AM1492" s="2" t="str">
        <f>HYPERLINK("https://transparencia.cidesi.mx/comprobantes/2021/CQ2100467 /C2FACTURA_1625352531169_336135409.pdf")</f>
        <v>https://transparencia.cidesi.mx/comprobantes/2021/CQ2100467 /C2FACTURA_1625352531169_336135409.pdf</v>
      </c>
      <c r="AN1492" t="str">
        <f>HYPERLINK("https://transparencia.cidesi.mx/comprobantes/2021/CQ2100467 /C2FACTURA_1625352531169_336135409.pdf")</f>
        <v>https://transparencia.cidesi.mx/comprobantes/2021/CQ2100467 /C2FACTURA_1625352531169_336135409.pdf</v>
      </c>
      <c r="AO1492" t="str">
        <f>HYPERLINK("https://transparencia.cidesi.mx/comprobantes/2021/CQ2100467 /C2FACTURA_1625352531169_336135409.xml")</f>
        <v>https://transparencia.cidesi.mx/comprobantes/2021/CQ2100467 /C2FACTURA_1625352531169_336135409.xml</v>
      </c>
      <c r="AP1492" t="s">
        <v>2916</v>
      </c>
      <c r="AQ1492" t="s">
        <v>2917</v>
      </c>
      <c r="AR1492" t="s">
        <v>2917</v>
      </c>
      <c r="AS1492" t="s">
        <v>2917</v>
      </c>
      <c r="AT1492" s="1">
        <v>44385</v>
      </c>
      <c r="AU1492" s="1">
        <v>44389</v>
      </c>
    </row>
    <row r="1493" spans="1:47" x14ac:dyDescent="0.3">
      <c r="A1493" t="s">
        <v>47</v>
      </c>
      <c r="B1493" t="s">
        <v>224</v>
      </c>
      <c r="C1493" t="s">
        <v>225</v>
      </c>
      <c r="D1493">
        <v>101099</v>
      </c>
      <c r="E1493" t="s">
        <v>2904</v>
      </c>
      <c r="F1493" t="s">
        <v>2905</v>
      </c>
      <c r="G1493" t="s">
        <v>1678</v>
      </c>
      <c r="H1493" t="s">
        <v>2918</v>
      </c>
      <c r="I1493" t="s">
        <v>54</v>
      </c>
      <c r="J1493" t="s">
        <v>2919</v>
      </c>
      <c r="K1493" t="s">
        <v>56</v>
      </c>
      <c r="L1493">
        <v>0</v>
      </c>
      <c r="M1493" t="s">
        <v>73</v>
      </c>
      <c r="N1493">
        <v>0</v>
      </c>
      <c r="O1493" t="s">
        <v>58</v>
      </c>
      <c r="P1493" t="s">
        <v>59</v>
      </c>
      <c r="Q1493" t="s">
        <v>216</v>
      </c>
      <c r="R1493" t="s">
        <v>2919</v>
      </c>
      <c r="S1493" s="1">
        <v>44382</v>
      </c>
      <c r="T1493" s="1">
        <v>44382</v>
      </c>
      <c r="U1493">
        <v>37501</v>
      </c>
      <c r="V1493" t="s">
        <v>61</v>
      </c>
      <c r="W1493" t="s">
        <v>2920</v>
      </c>
      <c r="X1493" s="1">
        <v>44383</v>
      </c>
      <c r="Y1493" t="s">
        <v>63</v>
      </c>
      <c r="Z1493">
        <v>377.59</v>
      </c>
      <c r="AA1493">
        <v>16</v>
      </c>
      <c r="AB1493">
        <v>60.41</v>
      </c>
      <c r="AC1493">
        <v>0</v>
      </c>
      <c r="AD1493">
        <v>438</v>
      </c>
      <c r="AE1493">
        <v>507.5</v>
      </c>
      <c r="AF1493">
        <v>545</v>
      </c>
      <c r="AG1493" t="s">
        <v>2909</v>
      </c>
      <c r="AH1493" t="s">
        <v>65</v>
      </c>
      <c r="AI1493" t="s">
        <v>65</v>
      </c>
      <c r="AJ1493" t="s">
        <v>66</v>
      </c>
      <c r="AK1493" t="s">
        <v>66</v>
      </c>
      <c r="AL1493" t="s">
        <v>66</v>
      </c>
      <c r="AM1493" s="2" t="str">
        <f>HYPERLINK("https://transparencia.cidesi.mx/comprobantes/2021/CQ2100468 /C1CID840309UG7F0000018716.pdf")</f>
        <v>https://transparencia.cidesi.mx/comprobantes/2021/CQ2100468 /C1CID840309UG7F0000018716.pdf</v>
      </c>
      <c r="AN1493" t="str">
        <f>HYPERLINK("https://transparencia.cidesi.mx/comprobantes/2021/CQ2100468 /C1CID840309UG7F0000018716.pdf")</f>
        <v>https://transparencia.cidesi.mx/comprobantes/2021/CQ2100468 /C1CID840309UG7F0000018716.pdf</v>
      </c>
      <c r="AO1493" t="str">
        <f>HYPERLINK("https://transparencia.cidesi.mx/comprobantes/2021/CQ2100468 /C1CID840309UG7F0000018716.xml")</f>
        <v>https://transparencia.cidesi.mx/comprobantes/2021/CQ2100468 /C1CID840309UG7F0000018716.xml</v>
      </c>
      <c r="AP1493" t="s">
        <v>2916</v>
      </c>
      <c r="AQ1493" t="s">
        <v>2917</v>
      </c>
      <c r="AR1493" t="s">
        <v>2917</v>
      </c>
      <c r="AS1493" t="s">
        <v>2917</v>
      </c>
      <c r="AT1493" s="1">
        <v>44385</v>
      </c>
      <c r="AU1493" s="1">
        <v>44389</v>
      </c>
    </row>
    <row r="1494" spans="1:47" x14ac:dyDescent="0.3">
      <c r="A1494" t="s">
        <v>47</v>
      </c>
      <c r="B1494" t="s">
        <v>224</v>
      </c>
      <c r="C1494" t="s">
        <v>225</v>
      </c>
      <c r="D1494">
        <v>101099</v>
      </c>
      <c r="E1494" t="s">
        <v>2904</v>
      </c>
      <c r="F1494" t="s">
        <v>2905</v>
      </c>
      <c r="G1494" t="s">
        <v>1678</v>
      </c>
      <c r="H1494" t="s">
        <v>2918</v>
      </c>
      <c r="I1494" t="s">
        <v>54</v>
      </c>
      <c r="J1494" t="s">
        <v>2919</v>
      </c>
      <c r="K1494" t="s">
        <v>56</v>
      </c>
      <c r="L1494">
        <v>0</v>
      </c>
      <c r="M1494" t="s">
        <v>73</v>
      </c>
      <c r="N1494">
        <v>0</v>
      </c>
      <c r="O1494" t="s">
        <v>58</v>
      </c>
      <c r="P1494" t="s">
        <v>59</v>
      </c>
      <c r="Q1494" t="s">
        <v>216</v>
      </c>
      <c r="R1494" t="s">
        <v>2919</v>
      </c>
      <c r="S1494" s="1">
        <v>44382</v>
      </c>
      <c r="T1494" s="1">
        <v>44382</v>
      </c>
      <c r="U1494">
        <v>37501</v>
      </c>
      <c r="V1494" t="s">
        <v>61</v>
      </c>
      <c r="W1494" t="s">
        <v>2920</v>
      </c>
      <c r="X1494" s="1">
        <v>44383</v>
      </c>
      <c r="Y1494" t="s">
        <v>63</v>
      </c>
      <c r="Z1494">
        <v>64.739999999999995</v>
      </c>
      <c r="AA1494">
        <v>16</v>
      </c>
      <c r="AB1494">
        <v>4.76</v>
      </c>
      <c r="AC1494">
        <v>0</v>
      </c>
      <c r="AD1494">
        <v>69.5</v>
      </c>
      <c r="AE1494">
        <v>507.5</v>
      </c>
      <c r="AF1494">
        <v>545</v>
      </c>
      <c r="AG1494" t="s">
        <v>2909</v>
      </c>
      <c r="AH1494" t="s">
        <v>65</v>
      </c>
      <c r="AI1494" t="s">
        <v>65</v>
      </c>
      <c r="AJ1494" t="s">
        <v>66</v>
      </c>
      <c r="AK1494" t="s">
        <v>66</v>
      </c>
      <c r="AL1494" t="s">
        <v>66</v>
      </c>
      <c r="AM1494" s="2" t="str">
        <f>HYPERLINK("https://transparencia.cidesi.mx/comprobantes/2021/CQ2100468 /C2FACTURA_1625604895333_336374293.pdf")</f>
        <v>https://transparencia.cidesi.mx/comprobantes/2021/CQ2100468 /C2FACTURA_1625604895333_336374293.pdf</v>
      </c>
      <c r="AN1494" t="str">
        <f>HYPERLINK("https://transparencia.cidesi.mx/comprobantes/2021/CQ2100468 /C2FACTURA_1625604895333_336374293.pdf")</f>
        <v>https://transparencia.cidesi.mx/comprobantes/2021/CQ2100468 /C2FACTURA_1625604895333_336374293.pdf</v>
      </c>
      <c r="AO1494" t="str">
        <f>HYPERLINK("https://transparencia.cidesi.mx/comprobantes/2021/CQ2100468 /C2FACTURA_1625604896113_336374293.xml")</f>
        <v>https://transparencia.cidesi.mx/comprobantes/2021/CQ2100468 /C2FACTURA_1625604896113_336374293.xml</v>
      </c>
      <c r="AP1494" t="s">
        <v>2916</v>
      </c>
      <c r="AQ1494" t="s">
        <v>2917</v>
      </c>
      <c r="AR1494" t="s">
        <v>2917</v>
      </c>
      <c r="AS1494" t="s">
        <v>2917</v>
      </c>
      <c r="AT1494" s="1">
        <v>44385</v>
      </c>
      <c r="AU1494" s="1">
        <v>44389</v>
      </c>
    </row>
    <row r="1495" spans="1:47" x14ac:dyDescent="0.3">
      <c r="A1495" t="s">
        <v>47</v>
      </c>
      <c r="B1495" t="s">
        <v>224</v>
      </c>
      <c r="C1495" t="s">
        <v>225</v>
      </c>
      <c r="D1495">
        <v>101099</v>
      </c>
      <c r="E1495" t="s">
        <v>2904</v>
      </c>
      <c r="F1495" t="s">
        <v>2905</v>
      </c>
      <c r="G1495" t="s">
        <v>1678</v>
      </c>
      <c r="H1495" t="s">
        <v>2921</v>
      </c>
      <c r="I1495" t="s">
        <v>54</v>
      </c>
      <c r="J1495" t="s">
        <v>2922</v>
      </c>
      <c r="K1495" t="s">
        <v>56</v>
      </c>
      <c r="L1495">
        <v>0</v>
      </c>
      <c r="M1495" t="s">
        <v>73</v>
      </c>
      <c r="N1495">
        <v>0</v>
      </c>
      <c r="O1495" t="s">
        <v>58</v>
      </c>
      <c r="P1495" t="s">
        <v>59</v>
      </c>
      <c r="Q1495" t="s">
        <v>216</v>
      </c>
      <c r="R1495" t="s">
        <v>2922</v>
      </c>
      <c r="S1495" s="1">
        <v>44384</v>
      </c>
      <c r="T1495" s="1">
        <v>44384</v>
      </c>
      <c r="U1495">
        <v>37501</v>
      </c>
      <c r="V1495" t="s">
        <v>61</v>
      </c>
      <c r="W1495" t="s">
        <v>2923</v>
      </c>
      <c r="X1495" s="1">
        <v>44385</v>
      </c>
      <c r="Y1495" t="s">
        <v>63</v>
      </c>
      <c r="Z1495">
        <v>331.9</v>
      </c>
      <c r="AA1495">
        <v>16</v>
      </c>
      <c r="AB1495">
        <v>53.1</v>
      </c>
      <c r="AC1495">
        <v>40</v>
      </c>
      <c r="AD1495">
        <v>425</v>
      </c>
      <c r="AE1495">
        <v>523</v>
      </c>
      <c r="AF1495">
        <v>545</v>
      </c>
      <c r="AG1495" t="s">
        <v>2909</v>
      </c>
      <c r="AH1495" t="s">
        <v>65</v>
      </c>
      <c r="AI1495" t="s">
        <v>65</v>
      </c>
      <c r="AJ1495" t="s">
        <v>66</v>
      </c>
      <c r="AK1495" t="s">
        <v>66</v>
      </c>
      <c r="AL1495" t="s">
        <v>66</v>
      </c>
      <c r="AM1495" s="2" t="str">
        <f>HYPERLINK("https://transparencia.cidesi.mx/comprobantes/2021/CQ2100485 /C1CID840309UG7F0000018744.pdf")</f>
        <v>https://transparencia.cidesi.mx/comprobantes/2021/CQ2100485 /C1CID840309UG7F0000018744.pdf</v>
      </c>
      <c r="AN1495" t="str">
        <f>HYPERLINK("https://transparencia.cidesi.mx/comprobantes/2021/CQ2100485 /C1CID840309UG7F0000018744.pdf")</f>
        <v>https://transparencia.cidesi.mx/comprobantes/2021/CQ2100485 /C1CID840309UG7F0000018744.pdf</v>
      </c>
      <c r="AO1495" t="str">
        <f>HYPERLINK("https://transparencia.cidesi.mx/comprobantes/2021/CQ2100485 /C1CID840309UG7F0000018744.xml")</f>
        <v>https://transparencia.cidesi.mx/comprobantes/2021/CQ2100485 /C1CID840309UG7F0000018744.xml</v>
      </c>
      <c r="AP1495" t="s">
        <v>2924</v>
      </c>
      <c r="AQ1495" t="s">
        <v>2925</v>
      </c>
      <c r="AR1495" t="s">
        <v>2925</v>
      </c>
      <c r="AS1495" t="s">
        <v>2925</v>
      </c>
      <c r="AT1495" s="1">
        <v>44385</v>
      </c>
      <c r="AU1495" s="1">
        <v>44389</v>
      </c>
    </row>
    <row r="1496" spans="1:47" x14ac:dyDescent="0.3">
      <c r="A1496" t="s">
        <v>47</v>
      </c>
      <c r="B1496" t="s">
        <v>224</v>
      </c>
      <c r="C1496" t="s">
        <v>225</v>
      </c>
      <c r="D1496">
        <v>101099</v>
      </c>
      <c r="E1496" t="s">
        <v>2904</v>
      </c>
      <c r="F1496" t="s">
        <v>2905</v>
      </c>
      <c r="G1496" t="s">
        <v>1678</v>
      </c>
      <c r="H1496" t="s">
        <v>2921</v>
      </c>
      <c r="I1496" t="s">
        <v>54</v>
      </c>
      <c r="J1496" t="s">
        <v>2922</v>
      </c>
      <c r="K1496" t="s">
        <v>56</v>
      </c>
      <c r="L1496">
        <v>0</v>
      </c>
      <c r="M1496" t="s">
        <v>73</v>
      </c>
      <c r="N1496">
        <v>0</v>
      </c>
      <c r="O1496" t="s">
        <v>58</v>
      </c>
      <c r="P1496" t="s">
        <v>59</v>
      </c>
      <c r="Q1496" t="s">
        <v>216</v>
      </c>
      <c r="R1496" t="s">
        <v>2922</v>
      </c>
      <c r="S1496" s="1">
        <v>44384</v>
      </c>
      <c r="T1496" s="1">
        <v>44384</v>
      </c>
      <c r="U1496">
        <v>37501</v>
      </c>
      <c r="V1496" t="s">
        <v>61</v>
      </c>
      <c r="W1496" t="s">
        <v>2923</v>
      </c>
      <c r="X1496" s="1">
        <v>44385</v>
      </c>
      <c r="Y1496" t="s">
        <v>63</v>
      </c>
      <c r="Z1496">
        <v>84.48</v>
      </c>
      <c r="AA1496">
        <v>16</v>
      </c>
      <c r="AB1496">
        <v>13.52</v>
      </c>
      <c r="AC1496">
        <v>0</v>
      </c>
      <c r="AD1496">
        <v>98</v>
      </c>
      <c r="AE1496">
        <v>523</v>
      </c>
      <c r="AF1496">
        <v>545</v>
      </c>
      <c r="AG1496" t="s">
        <v>2909</v>
      </c>
      <c r="AH1496" t="s">
        <v>65</v>
      </c>
      <c r="AI1496" t="s">
        <v>65</v>
      </c>
      <c r="AJ1496" t="s">
        <v>66</v>
      </c>
      <c r="AK1496" t="s">
        <v>66</v>
      </c>
      <c r="AL1496" t="s">
        <v>66</v>
      </c>
      <c r="AM1496" s="2" t="str">
        <f>HYPERLINK("https://transparencia.cidesi.mx/comprobantes/2021/CQ2100485 /C268997857.pdf")</f>
        <v>https://transparencia.cidesi.mx/comprobantes/2021/CQ2100485 /C268997857.pdf</v>
      </c>
      <c r="AN1496" t="str">
        <f>HYPERLINK("https://transparencia.cidesi.mx/comprobantes/2021/CQ2100485 /C268997857.pdf")</f>
        <v>https://transparencia.cidesi.mx/comprobantes/2021/CQ2100485 /C268997857.pdf</v>
      </c>
      <c r="AO1496" t="str">
        <f>HYPERLINK("https://transparencia.cidesi.mx/comprobantes/2021/CQ2100485 /C268997857.xml")</f>
        <v>https://transparencia.cidesi.mx/comprobantes/2021/CQ2100485 /C268997857.xml</v>
      </c>
      <c r="AP1496" t="s">
        <v>2924</v>
      </c>
      <c r="AQ1496" t="s">
        <v>2925</v>
      </c>
      <c r="AR1496" t="s">
        <v>2925</v>
      </c>
      <c r="AS1496" t="s">
        <v>2925</v>
      </c>
      <c r="AT1496" s="1">
        <v>44385</v>
      </c>
      <c r="AU1496" s="1">
        <v>44389</v>
      </c>
    </row>
    <row r="1497" spans="1:47" x14ac:dyDescent="0.3">
      <c r="A1497" t="s">
        <v>47</v>
      </c>
      <c r="B1497" t="s">
        <v>224</v>
      </c>
      <c r="C1497" t="s">
        <v>225</v>
      </c>
      <c r="D1497">
        <v>101099</v>
      </c>
      <c r="E1497" t="s">
        <v>2904</v>
      </c>
      <c r="F1497" t="s">
        <v>2905</v>
      </c>
      <c r="G1497" t="s">
        <v>1678</v>
      </c>
      <c r="H1497" t="s">
        <v>2926</v>
      </c>
      <c r="I1497" t="s">
        <v>54</v>
      </c>
      <c r="J1497" t="s">
        <v>2916</v>
      </c>
      <c r="K1497" t="s">
        <v>56</v>
      </c>
      <c r="L1497">
        <v>0</v>
      </c>
      <c r="M1497" t="s">
        <v>73</v>
      </c>
      <c r="N1497">
        <v>0</v>
      </c>
      <c r="O1497" t="s">
        <v>58</v>
      </c>
      <c r="P1497" t="s">
        <v>59</v>
      </c>
      <c r="Q1497" t="s">
        <v>216</v>
      </c>
      <c r="R1497" t="s">
        <v>2916</v>
      </c>
      <c r="S1497" s="1">
        <v>44399</v>
      </c>
      <c r="T1497" s="1">
        <v>44400</v>
      </c>
      <c r="U1497">
        <v>37501</v>
      </c>
      <c r="V1497" t="s">
        <v>104</v>
      </c>
      <c r="W1497" t="s">
        <v>2927</v>
      </c>
      <c r="X1497" s="1">
        <v>44404</v>
      </c>
      <c r="Y1497" t="s">
        <v>63</v>
      </c>
      <c r="Z1497">
        <v>416</v>
      </c>
      <c r="AA1497">
        <v>16</v>
      </c>
      <c r="AB1497">
        <v>64</v>
      </c>
      <c r="AC1497">
        <v>0</v>
      </c>
      <c r="AD1497">
        <v>480</v>
      </c>
      <c r="AE1497">
        <v>1626.5</v>
      </c>
      <c r="AF1497">
        <v>1636</v>
      </c>
      <c r="AG1497" t="s">
        <v>2928</v>
      </c>
      <c r="AH1497" t="s">
        <v>65</v>
      </c>
      <c r="AI1497" t="s">
        <v>65</v>
      </c>
      <c r="AJ1497" t="s">
        <v>66</v>
      </c>
      <c r="AK1497" t="s">
        <v>66</v>
      </c>
      <c r="AL1497" t="s">
        <v>66</v>
      </c>
      <c r="AM1497" s="2" t="str">
        <f>HYPERLINK("https://transparencia.cidesi.mx/comprobantes/2021/CQ2100555 /C1H_472.pdf")</f>
        <v>https://transparencia.cidesi.mx/comprobantes/2021/CQ2100555 /C1H_472.pdf</v>
      </c>
      <c r="AN1497" t="str">
        <f>HYPERLINK("https://transparencia.cidesi.mx/comprobantes/2021/CQ2100555 /C1H_472.pdf")</f>
        <v>https://transparencia.cidesi.mx/comprobantes/2021/CQ2100555 /C1H_472.pdf</v>
      </c>
      <c r="AO1497" t="str">
        <f>HYPERLINK("https://transparencia.cidesi.mx/comprobantes/2021/CQ2100555 /C1H_472.xml")</f>
        <v>https://transparencia.cidesi.mx/comprobantes/2021/CQ2100555 /C1H_472.xml</v>
      </c>
      <c r="AP1497" t="s">
        <v>2929</v>
      </c>
      <c r="AQ1497" t="s">
        <v>2930</v>
      </c>
      <c r="AR1497" t="s">
        <v>2930</v>
      </c>
      <c r="AS1497" t="s">
        <v>2930</v>
      </c>
      <c r="AT1497" s="1">
        <v>44406</v>
      </c>
      <c r="AU1497" s="1">
        <v>44411</v>
      </c>
    </row>
    <row r="1498" spans="1:47" x14ac:dyDescent="0.3">
      <c r="A1498" t="s">
        <v>47</v>
      </c>
      <c r="B1498" t="s">
        <v>224</v>
      </c>
      <c r="C1498" t="s">
        <v>225</v>
      </c>
      <c r="D1498">
        <v>101099</v>
      </c>
      <c r="E1498" t="s">
        <v>2904</v>
      </c>
      <c r="F1498" t="s">
        <v>2905</v>
      </c>
      <c r="G1498" t="s">
        <v>1678</v>
      </c>
      <c r="H1498" t="s">
        <v>2926</v>
      </c>
      <c r="I1498" t="s">
        <v>54</v>
      </c>
      <c r="J1498" t="s">
        <v>2916</v>
      </c>
      <c r="K1498" t="s">
        <v>56</v>
      </c>
      <c r="L1498">
        <v>0</v>
      </c>
      <c r="M1498" t="s">
        <v>73</v>
      </c>
      <c r="N1498">
        <v>0</v>
      </c>
      <c r="O1498" t="s">
        <v>58</v>
      </c>
      <c r="P1498" t="s">
        <v>59</v>
      </c>
      <c r="Q1498" t="s">
        <v>216</v>
      </c>
      <c r="R1498" t="s">
        <v>2916</v>
      </c>
      <c r="S1498" s="1">
        <v>44399</v>
      </c>
      <c r="T1498" s="1">
        <v>44400</v>
      </c>
      <c r="U1498">
        <v>37501</v>
      </c>
      <c r="V1498" t="s">
        <v>61</v>
      </c>
      <c r="W1498" t="s">
        <v>2927</v>
      </c>
      <c r="X1498" s="1">
        <v>44404</v>
      </c>
      <c r="Y1498" t="s">
        <v>63</v>
      </c>
      <c r="Z1498">
        <v>305.17</v>
      </c>
      <c r="AA1498">
        <v>16</v>
      </c>
      <c r="AB1498">
        <v>48.83</v>
      </c>
      <c r="AC1498">
        <v>36</v>
      </c>
      <c r="AD1498">
        <v>390</v>
      </c>
      <c r="AE1498">
        <v>1626.5</v>
      </c>
      <c r="AF1498">
        <v>1636</v>
      </c>
      <c r="AG1498" t="s">
        <v>2909</v>
      </c>
      <c r="AH1498" t="s">
        <v>65</v>
      </c>
      <c r="AI1498" t="s">
        <v>65</v>
      </c>
      <c r="AJ1498" t="s">
        <v>66</v>
      </c>
      <c r="AK1498" t="s">
        <v>66</v>
      </c>
      <c r="AL1498" t="s">
        <v>66</v>
      </c>
      <c r="AM1498" s="2" t="str">
        <f>HYPERLINK("https://transparencia.cidesi.mx/comprobantes/2021/CQ2100555 /C2CID840309UG7F0000018935.pdf")</f>
        <v>https://transparencia.cidesi.mx/comprobantes/2021/CQ2100555 /C2CID840309UG7F0000018935.pdf</v>
      </c>
      <c r="AN1498" t="str">
        <f>HYPERLINK("https://transparencia.cidesi.mx/comprobantes/2021/CQ2100555 /C2CID840309UG7F0000018935.pdf")</f>
        <v>https://transparencia.cidesi.mx/comprobantes/2021/CQ2100555 /C2CID840309UG7F0000018935.pdf</v>
      </c>
      <c r="AO1498" t="str">
        <f>HYPERLINK("https://transparencia.cidesi.mx/comprobantes/2021/CQ2100555 /C2CID840309UG7F0000018935.xml")</f>
        <v>https://transparencia.cidesi.mx/comprobantes/2021/CQ2100555 /C2CID840309UG7F0000018935.xml</v>
      </c>
      <c r="AP1498" t="s">
        <v>2929</v>
      </c>
      <c r="AQ1498" t="s">
        <v>2930</v>
      </c>
      <c r="AR1498" t="s">
        <v>2930</v>
      </c>
      <c r="AS1498" t="s">
        <v>2930</v>
      </c>
      <c r="AT1498" s="1">
        <v>44406</v>
      </c>
      <c r="AU1498" s="1">
        <v>44411</v>
      </c>
    </row>
    <row r="1499" spans="1:47" x14ac:dyDescent="0.3">
      <c r="A1499" t="s">
        <v>47</v>
      </c>
      <c r="B1499" t="s">
        <v>224</v>
      </c>
      <c r="C1499" t="s">
        <v>225</v>
      </c>
      <c r="D1499">
        <v>101099</v>
      </c>
      <c r="E1499" t="s">
        <v>2904</v>
      </c>
      <c r="F1499" t="s">
        <v>2905</v>
      </c>
      <c r="G1499" t="s">
        <v>1678</v>
      </c>
      <c r="H1499" t="s">
        <v>2926</v>
      </c>
      <c r="I1499" t="s">
        <v>54</v>
      </c>
      <c r="J1499" t="s">
        <v>2916</v>
      </c>
      <c r="K1499" t="s">
        <v>56</v>
      </c>
      <c r="L1499">
        <v>0</v>
      </c>
      <c r="M1499" t="s">
        <v>73</v>
      </c>
      <c r="N1499">
        <v>0</v>
      </c>
      <c r="O1499" t="s">
        <v>58</v>
      </c>
      <c r="P1499" t="s">
        <v>59</v>
      </c>
      <c r="Q1499" t="s">
        <v>216</v>
      </c>
      <c r="R1499" t="s">
        <v>2916</v>
      </c>
      <c r="S1499" s="1">
        <v>44399</v>
      </c>
      <c r="T1499" s="1">
        <v>44400</v>
      </c>
      <c r="U1499">
        <v>37501</v>
      </c>
      <c r="V1499" t="s">
        <v>61</v>
      </c>
      <c r="W1499" t="s">
        <v>2927</v>
      </c>
      <c r="X1499" s="1">
        <v>44404</v>
      </c>
      <c r="Y1499" t="s">
        <v>63</v>
      </c>
      <c r="Z1499">
        <v>427.59</v>
      </c>
      <c r="AA1499">
        <v>16</v>
      </c>
      <c r="AB1499">
        <v>68.41</v>
      </c>
      <c r="AC1499">
        <v>50</v>
      </c>
      <c r="AD1499">
        <v>546</v>
      </c>
      <c r="AE1499">
        <v>1626.5</v>
      </c>
      <c r="AF1499">
        <v>1636</v>
      </c>
      <c r="AG1499" t="s">
        <v>2909</v>
      </c>
      <c r="AH1499" t="s">
        <v>65</v>
      </c>
      <c r="AI1499" t="s">
        <v>65</v>
      </c>
      <c r="AJ1499" t="s">
        <v>66</v>
      </c>
      <c r="AK1499" t="s">
        <v>66</v>
      </c>
      <c r="AL1499" t="s">
        <v>66</v>
      </c>
      <c r="AM1499" s="2" t="str">
        <f>HYPERLINK("https://transparencia.cidesi.mx/comprobantes/2021/CQ2100555 /C3TAAC5505297IA_Factura__16529_651C9442-4723-4A6D-B944-6FCC6A14E60C.pdf")</f>
        <v>https://transparencia.cidesi.mx/comprobantes/2021/CQ2100555 /C3TAAC5505297IA_Factura__16529_651C9442-4723-4A6D-B944-6FCC6A14E60C.pdf</v>
      </c>
      <c r="AN1499" t="str">
        <f>HYPERLINK("https://transparencia.cidesi.mx/comprobantes/2021/CQ2100555 /C3TAAC5505297IA_Factura__16529_651C9442-4723-4A6D-B944-6FCC6A14E60C.pdf")</f>
        <v>https://transparencia.cidesi.mx/comprobantes/2021/CQ2100555 /C3TAAC5505297IA_Factura__16529_651C9442-4723-4A6D-B944-6FCC6A14E60C.pdf</v>
      </c>
      <c r="AO1499" t="str">
        <f>HYPERLINK("https://transparencia.cidesi.mx/comprobantes/2021/CQ2100555 /C3TAAC5505297IA_Factura__16529_651C9442-4723-4A6D-B944-6FCC6A14E60C.xml")</f>
        <v>https://transparencia.cidesi.mx/comprobantes/2021/CQ2100555 /C3TAAC5505297IA_Factura__16529_651C9442-4723-4A6D-B944-6FCC6A14E60C.xml</v>
      </c>
      <c r="AP1499" t="s">
        <v>2929</v>
      </c>
      <c r="AQ1499" t="s">
        <v>2930</v>
      </c>
      <c r="AR1499" t="s">
        <v>2930</v>
      </c>
      <c r="AS1499" t="s">
        <v>2930</v>
      </c>
      <c r="AT1499" s="1">
        <v>44406</v>
      </c>
      <c r="AU1499" s="1">
        <v>44411</v>
      </c>
    </row>
    <row r="1500" spans="1:47" x14ac:dyDescent="0.3">
      <c r="A1500" t="s">
        <v>47</v>
      </c>
      <c r="B1500" t="s">
        <v>224</v>
      </c>
      <c r="C1500" t="s">
        <v>225</v>
      </c>
      <c r="D1500">
        <v>101099</v>
      </c>
      <c r="E1500" t="s">
        <v>2904</v>
      </c>
      <c r="F1500" t="s">
        <v>2905</v>
      </c>
      <c r="G1500" t="s">
        <v>1678</v>
      </c>
      <c r="H1500" t="s">
        <v>2926</v>
      </c>
      <c r="I1500" t="s">
        <v>54</v>
      </c>
      <c r="J1500" t="s">
        <v>2916</v>
      </c>
      <c r="K1500" t="s">
        <v>56</v>
      </c>
      <c r="L1500">
        <v>0</v>
      </c>
      <c r="M1500" t="s">
        <v>73</v>
      </c>
      <c r="N1500">
        <v>0</v>
      </c>
      <c r="O1500" t="s">
        <v>58</v>
      </c>
      <c r="P1500" t="s">
        <v>59</v>
      </c>
      <c r="Q1500" t="s">
        <v>216</v>
      </c>
      <c r="R1500" t="s">
        <v>2916</v>
      </c>
      <c r="S1500" s="1">
        <v>44399</v>
      </c>
      <c r="T1500" s="1">
        <v>44400</v>
      </c>
      <c r="U1500">
        <v>37501</v>
      </c>
      <c r="V1500" t="s">
        <v>61</v>
      </c>
      <c r="W1500" t="s">
        <v>2927</v>
      </c>
      <c r="X1500" s="1">
        <v>44404</v>
      </c>
      <c r="Y1500" t="s">
        <v>63</v>
      </c>
      <c r="Z1500">
        <v>150.19</v>
      </c>
      <c r="AA1500">
        <v>16</v>
      </c>
      <c r="AB1500">
        <v>3.31</v>
      </c>
      <c r="AC1500">
        <v>0</v>
      </c>
      <c r="AD1500">
        <v>153.5</v>
      </c>
      <c r="AE1500">
        <v>1626.5</v>
      </c>
      <c r="AF1500">
        <v>1636</v>
      </c>
      <c r="AG1500" t="s">
        <v>2909</v>
      </c>
      <c r="AH1500" t="s">
        <v>65</v>
      </c>
      <c r="AI1500" t="s">
        <v>65</v>
      </c>
      <c r="AJ1500" t="s">
        <v>66</v>
      </c>
      <c r="AK1500" t="s">
        <v>66</v>
      </c>
      <c r="AL1500" t="s">
        <v>66</v>
      </c>
      <c r="AM1500" s="2" t="str">
        <f>HYPERLINK("https://transparencia.cidesi.mx/comprobantes/2021/CQ2100555 /C4FACTURA_1627081013935_338105971.pdf")</f>
        <v>https://transparencia.cidesi.mx/comprobantes/2021/CQ2100555 /C4FACTURA_1627081013935_338105971.pdf</v>
      </c>
      <c r="AN1500" t="str">
        <f>HYPERLINK("https://transparencia.cidesi.mx/comprobantes/2021/CQ2100555 /C4FACTURA_1627081013935_338105971.pdf")</f>
        <v>https://transparencia.cidesi.mx/comprobantes/2021/CQ2100555 /C4FACTURA_1627081013935_338105971.pdf</v>
      </c>
      <c r="AO1500" t="str">
        <f>HYPERLINK("https://transparencia.cidesi.mx/comprobantes/2021/CQ2100555 /C4FACTURA_1627081013935_338105971.xml")</f>
        <v>https://transparencia.cidesi.mx/comprobantes/2021/CQ2100555 /C4FACTURA_1627081013935_338105971.xml</v>
      </c>
      <c r="AP1500" t="s">
        <v>2929</v>
      </c>
      <c r="AQ1500" t="s">
        <v>2930</v>
      </c>
      <c r="AR1500" t="s">
        <v>2930</v>
      </c>
      <c r="AS1500" t="s">
        <v>2930</v>
      </c>
      <c r="AT1500" s="1">
        <v>44406</v>
      </c>
      <c r="AU1500" s="1">
        <v>44411</v>
      </c>
    </row>
    <row r="1501" spans="1:47" x14ac:dyDescent="0.3">
      <c r="A1501" t="s">
        <v>47</v>
      </c>
      <c r="B1501" t="s">
        <v>224</v>
      </c>
      <c r="C1501" t="s">
        <v>225</v>
      </c>
      <c r="D1501">
        <v>101099</v>
      </c>
      <c r="E1501" t="s">
        <v>2904</v>
      </c>
      <c r="F1501" t="s">
        <v>2905</v>
      </c>
      <c r="G1501" t="s">
        <v>1678</v>
      </c>
      <c r="H1501" t="s">
        <v>2926</v>
      </c>
      <c r="I1501" t="s">
        <v>54</v>
      </c>
      <c r="J1501" t="s">
        <v>2916</v>
      </c>
      <c r="K1501" t="s">
        <v>56</v>
      </c>
      <c r="L1501">
        <v>0</v>
      </c>
      <c r="M1501" t="s">
        <v>73</v>
      </c>
      <c r="N1501">
        <v>0</v>
      </c>
      <c r="O1501" t="s">
        <v>58</v>
      </c>
      <c r="P1501" t="s">
        <v>59</v>
      </c>
      <c r="Q1501" t="s">
        <v>216</v>
      </c>
      <c r="R1501" t="s">
        <v>2916</v>
      </c>
      <c r="S1501" s="1">
        <v>44399</v>
      </c>
      <c r="T1501" s="1">
        <v>44400</v>
      </c>
      <c r="U1501">
        <v>37501</v>
      </c>
      <c r="V1501" t="s">
        <v>61</v>
      </c>
      <c r="W1501" t="s">
        <v>2927</v>
      </c>
      <c r="X1501" s="1">
        <v>44404</v>
      </c>
      <c r="Y1501" t="s">
        <v>63</v>
      </c>
      <c r="Z1501">
        <v>50.79</v>
      </c>
      <c r="AA1501">
        <v>16</v>
      </c>
      <c r="AB1501">
        <v>6.21</v>
      </c>
      <c r="AC1501">
        <v>0</v>
      </c>
      <c r="AD1501">
        <v>57</v>
      </c>
      <c r="AE1501">
        <v>1626.5</v>
      </c>
      <c r="AF1501">
        <v>1636</v>
      </c>
      <c r="AG1501" t="s">
        <v>2909</v>
      </c>
      <c r="AH1501" t="s">
        <v>65</v>
      </c>
      <c r="AI1501" t="s">
        <v>65</v>
      </c>
      <c r="AJ1501" t="s">
        <v>66</v>
      </c>
      <c r="AK1501" t="s">
        <v>66</v>
      </c>
      <c r="AL1501" t="s">
        <v>66</v>
      </c>
      <c r="AM1501" s="2" t="str">
        <f>HYPERLINK("https://transparencia.cidesi.mx/comprobantes/2021/CQ2100555 /C5FACTURA_1627089122194_338117463.pdf")</f>
        <v>https://transparencia.cidesi.mx/comprobantes/2021/CQ2100555 /C5FACTURA_1627089122194_338117463.pdf</v>
      </c>
      <c r="AN1501" t="str">
        <f>HYPERLINK("https://transparencia.cidesi.mx/comprobantes/2021/CQ2100555 /C5FACTURA_1627089122194_338117463.pdf")</f>
        <v>https://transparencia.cidesi.mx/comprobantes/2021/CQ2100555 /C5FACTURA_1627089122194_338117463.pdf</v>
      </c>
      <c r="AO1501" t="str">
        <f>HYPERLINK("https://transparencia.cidesi.mx/comprobantes/2021/CQ2100555 /C5FACTURA_1627089122194_338117463.xml")</f>
        <v>https://transparencia.cidesi.mx/comprobantes/2021/CQ2100555 /C5FACTURA_1627089122194_338117463.xml</v>
      </c>
      <c r="AP1501" t="s">
        <v>2929</v>
      </c>
      <c r="AQ1501" t="s">
        <v>2930</v>
      </c>
      <c r="AR1501" t="s">
        <v>2930</v>
      </c>
      <c r="AS1501" t="s">
        <v>2930</v>
      </c>
      <c r="AT1501" s="1">
        <v>44406</v>
      </c>
      <c r="AU1501" s="1">
        <v>44411</v>
      </c>
    </row>
    <row r="1502" spans="1:47" x14ac:dyDescent="0.3">
      <c r="A1502" t="s">
        <v>47</v>
      </c>
      <c r="B1502" t="s">
        <v>224</v>
      </c>
      <c r="C1502" t="s">
        <v>225</v>
      </c>
      <c r="D1502">
        <v>101099</v>
      </c>
      <c r="E1502" t="s">
        <v>2904</v>
      </c>
      <c r="F1502" t="s">
        <v>2905</v>
      </c>
      <c r="G1502" t="s">
        <v>1678</v>
      </c>
      <c r="H1502" t="s">
        <v>2931</v>
      </c>
      <c r="I1502" t="s">
        <v>54</v>
      </c>
      <c r="J1502" t="s">
        <v>2932</v>
      </c>
      <c r="K1502" t="s">
        <v>56</v>
      </c>
      <c r="L1502">
        <v>0</v>
      </c>
      <c r="M1502" t="s">
        <v>73</v>
      </c>
      <c r="N1502">
        <v>0</v>
      </c>
      <c r="O1502" t="s">
        <v>58</v>
      </c>
      <c r="P1502" t="s">
        <v>59</v>
      </c>
      <c r="Q1502" t="s">
        <v>216</v>
      </c>
      <c r="R1502" t="s">
        <v>2932</v>
      </c>
      <c r="S1502" s="1">
        <v>44458</v>
      </c>
      <c r="T1502" s="1">
        <v>44458</v>
      </c>
      <c r="U1502">
        <v>37501</v>
      </c>
      <c r="V1502" t="s">
        <v>61</v>
      </c>
      <c r="W1502" t="s">
        <v>2933</v>
      </c>
      <c r="X1502" s="1">
        <v>44459</v>
      </c>
      <c r="Y1502" t="s">
        <v>63</v>
      </c>
      <c r="Z1502">
        <v>383.62</v>
      </c>
      <c r="AA1502">
        <v>16</v>
      </c>
      <c r="AB1502">
        <v>61.38</v>
      </c>
      <c r="AC1502">
        <v>45</v>
      </c>
      <c r="AD1502">
        <v>490</v>
      </c>
      <c r="AE1502">
        <v>536</v>
      </c>
      <c r="AF1502">
        <v>545</v>
      </c>
      <c r="AG1502" t="s">
        <v>2909</v>
      </c>
      <c r="AH1502" t="s">
        <v>65</v>
      </c>
      <c r="AI1502" t="s">
        <v>65</v>
      </c>
      <c r="AJ1502" t="s">
        <v>66</v>
      </c>
      <c r="AK1502" t="s">
        <v>66</v>
      </c>
      <c r="AL1502" t="s">
        <v>66</v>
      </c>
      <c r="AM1502" s="2" t="str">
        <f>HYPERLINK("https://transparencia.cidesi.mx/comprobantes/2021/CQ2100830 /C1CID840309UG7F0000019616.pdf")</f>
        <v>https://transparencia.cidesi.mx/comprobantes/2021/CQ2100830 /C1CID840309UG7F0000019616.pdf</v>
      </c>
      <c r="AN1502" t="str">
        <f>HYPERLINK("https://transparencia.cidesi.mx/comprobantes/2021/CQ2100830 /C1CID840309UG7F0000019616.pdf")</f>
        <v>https://transparencia.cidesi.mx/comprobantes/2021/CQ2100830 /C1CID840309UG7F0000019616.pdf</v>
      </c>
      <c r="AO1502" t="str">
        <f>HYPERLINK("https://transparencia.cidesi.mx/comprobantes/2021/CQ2100830 /C1CID840309UG7F0000019616.xml")</f>
        <v>https://transparencia.cidesi.mx/comprobantes/2021/CQ2100830 /C1CID840309UG7F0000019616.xml</v>
      </c>
      <c r="AP1502" t="s">
        <v>2934</v>
      </c>
      <c r="AQ1502" t="s">
        <v>2935</v>
      </c>
      <c r="AR1502" t="s">
        <v>2935</v>
      </c>
      <c r="AS1502" t="s">
        <v>2935</v>
      </c>
      <c r="AT1502" s="1">
        <v>44460</v>
      </c>
      <c r="AU1502" s="1">
        <v>44470</v>
      </c>
    </row>
    <row r="1503" spans="1:47" x14ac:dyDescent="0.3">
      <c r="A1503" t="s">
        <v>47</v>
      </c>
      <c r="B1503" t="s">
        <v>224</v>
      </c>
      <c r="C1503" t="s">
        <v>225</v>
      </c>
      <c r="D1503">
        <v>101099</v>
      </c>
      <c r="E1503" t="s">
        <v>2904</v>
      </c>
      <c r="F1503" t="s">
        <v>2905</v>
      </c>
      <c r="G1503" t="s">
        <v>1678</v>
      </c>
      <c r="H1503" t="s">
        <v>2931</v>
      </c>
      <c r="I1503" t="s">
        <v>54</v>
      </c>
      <c r="J1503" t="s">
        <v>2932</v>
      </c>
      <c r="K1503" t="s">
        <v>56</v>
      </c>
      <c r="L1503">
        <v>0</v>
      </c>
      <c r="M1503" t="s">
        <v>73</v>
      </c>
      <c r="N1503">
        <v>0</v>
      </c>
      <c r="O1503" t="s">
        <v>58</v>
      </c>
      <c r="P1503" t="s">
        <v>59</v>
      </c>
      <c r="Q1503" t="s">
        <v>216</v>
      </c>
      <c r="R1503" t="s">
        <v>2932</v>
      </c>
      <c r="S1503" s="1">
        <v>44458</v>
      </c>
      <c r="T1503" s="1">
        <v>44458</v>
      </c>
      <c r="U1503">
        <v>37501</v>
      </c>
      <c r="V1503" t="s">
        <v>61</v>
      </c>
      <c r="W1503" t="s">
        <v>2933</v>
      </c>
      <c r="X1503" s="1">
        <v>44459</v>
      </c>
      <c r="Y1503" t="s">
        <v>63</v>
      </c>
      <c r="Z1503">
        <v>43.52</v>
      </c>
      <c r="AA1503">
        <v>16</v>
      </c>
      <c r="AB1503">
        <v>2.48</v>
      </c>
      <c r="AC1503">
        <v>0</v>
      </c>
      <c r="AD1503">
        <v>46</v>
      </c>
      <c r="AE1503">
        <v>536</v>
      </c>
      <c r="AF1503">
        <v>545</v>
      </c>
      <c r="AG1503" t="s">
        <v>2909</v>
      </c>
      <c r="AH1503" t="s">
        <v>65</v>
      </c>
      <c r="AI1503" t="s">
        <v>65</v>
      </c>
      <c r="AJ1503" t="s">
        <v>66</v>
      </c>
      <c r="AK1503" t="s">
        <v>66</v>
      </c>
      <c r="AL1503" t="s">
        <v>66</v>
      </c>
      <c r="AM1503" s="2" t="str">
        <f>HYPERLINK("https://transparencia.cidesi.mx/comprobantes/2021/CQ2100830 /C2FACTURA_1632164212060_345254459.pdf")</f>
        <v>https://transparencia.cidesi.mx/comprobantes/2021/CQ2100830 /C2FACTURA_1632164212060_345254459.pdf</v>
      </c>
      <c r="AN1503" t="str">
        <f>HYPERLINK("https://transparencia.cidesi.mx/comprobantes/2021/CQ2100830 /C2FACTURA_1632164212060_345254459.pdf")</f>
        <v>https://transparencia.cidesi.mx/comprobantes/2021/CQ2100830 /C2FACTURA_1632164212060_345254459.pdf</v>
      </c>
      <c r="AO1503" t="str">
        <f>HYPERLINK("https://transparencia.cidesi.mx/comprobantes/2021/CQ2100830 /C2FACTURA_1632164212990_345254459.xml")</f>
        <v>https://transparencia.cidesi.mx/comprobantes/2021/CQ2100830 /C2FACTURA_1632164212990_345254459.xml</v>
      </c>
      <c r="AP1503" t="s">
        <v>2934</v>
      </c>
      <c r="AQ1503" t="s">
        <v>2935</v>
      </c>
      <c r="AR1503" t="s">
        <v>2935</v>
      </c>
      <c r="AS1503" t="s">
        <v>2935</v>
      </c>
      <c r="AT1503" s="1">
        <v>44460</v>
      </c>
      <c r="AU1503" s="1">
        <v>44470</v>
      </c>
    </row>
    <row r="1504" spans="1:47" x14ac:dyDescent="0.3">
      <c r="A1504" t="s">
        <v>2936</v>
      </c>
      <c r="B1504" t="s">
        <v>80</v>
      </c>
      <c r="C1504" t="s">
        <v>2937</v>
      </c>
      <c r="D1504">
        <v>101151</v>
      </c>
      <c r="E1504" t="s">
        <v>2938</v>
      </c>
      <c r="F1504" t="s">
        <v>2939</v>
      </c>
      <c r="G1504" t="s">
        <v>2940</v>
      </c>
      <c r="H1504" t="s">
        <v>2941</v>
      </c>
      <c r="I1504" t="s">
        <v>54</v>
      </c>
      <c r="J1504" t="s">
        <v>2942</v>
      </c>
      <c r="K1504" t="s">
        <v>56</v>
      </c>
      <c r="L1504">
        <v>0</v>
      </c>
      <c r="M1504" t="s">
        <v>73</v>
      </c>
      <c r="N1504">
        <v>0</v>
      </c>
      <c r="O1504" t="s">
        <v>58</v>
      </c>
      <c r="P1504" t="s">
        <v>59</v>
      </c>
      <c r="Q1504" t="s">
        <v>959</v>
      </c>
      <c r="R1504" t="s">
        <v>2942</v>
      </c>
      <c r="S1504" s="1">
        <v>44424</v>
      </c>
      <c r="T1504" s="1">
        <v>44426</v>
      </c>
      <c r="U1504">
        <v>37501</v>
      </c>
      <c r="V1504" t="s">
        <v>104</v>
      </c>
      <c r="W1504" t="s">
        <v>2943</v>
      </c>
      <c r="X1504" s="1">
        <v>44427</v>
      </c>
      <c r="Y1504" t="s">
        <v>100</v>
      </c>
      <c r="Z1504">
        <v>2233.2199999999998</v>
      </c>
      <c r="AA1504">
        <v>16</v>
      </c>
      <c r="AB1504">
        <v>340.3</v>
      </c>
      <c r="AC1504">
        <v>0</v>
      </c>
      <c r="AD1504">
        <v>2573.52</v>
      </c>
      <c r="AE1504">
        <v>5709.9</v>
      </c>
      <c r="AF1504">
        <v>2727</v>
      </c>
      <c r="AG1504" t="s">
        <v>2944</v>
      </c>
      <c r="AH1504" t="s">
        <v>65</v>
      </c>
      <c r="AI1504" t="s">
        <v>65</v>
      </c>
      <c r="AJ1504" t="s">
        <v>66</v>
      </c>
      <c r="AK1504" t="s">
        <v>66</v>
      </c>
      <c r="AL1504" t="s">
        <v>66</v>
      </c>
      <c r="AM1504" s="2" t="str">
        <f>HYPERLINK("https://transparencia.cidesi.mx/comprobantes/2021/CQ2100669 /C1332414 (3) HOTEL.pdf")</f>
        <v>https://transparencia.cidesi.mx/comprobantes/2021/CQ2100669 /C1332414 (3) HOTEL.pdf</v>
      </c>
      <c r="AN1504" t="str">
        <f>HYPERLINK("https://transparencia.cidesi.mx/comprobantes/2021/CQ2100669 /C1332414 (3) HOTEL.pdf")</f>
        <v>https://transparencia.cidesi.mx/comprobantes/2021/CQ2100669 /C1332414 (3) HOTEL.pdf</v>
      </c>
      <c r="AO1504" t="str">
        <f>HYPERLINK("https://transparencia.cidesi.mx/comprobantes/2021/CQ2100669 /C1332414_HOTEL.xml")</f>
        <v>https://transparencia.cidesi.mx/comprobantes/2021/CQ2100669 /C1332414_HOTEL.xml</v>
      </c>
      <c r="AP1504" t="s">
        <v>2945</v>
      </c>
      <c r="AQ1504" t="s">
        <v>2946</v>
      </c>
      <c r="AR1504" t="s">
        <v>2947</v>
      </c>
      <c r="AS1504" t="s">
        <v>2948</v>
      </c>
      <c r="AT1504" s="1">
        <v>44434</v>
      </c>
      <c r="AU1504" t="s">
        <v>73</v>
      </c>
    </row>
    <row r="1505" spans="1:47" x14ac:dyDescent="0.3">
      <c r="A1505" t="s">
        <v>2936</v>
      </c>
      <c r="B1505" t="s">
        <v>80</v>
      </c>
      <c r="C1505" t="s">
        <v>2937</v>
      </c>
      <c r="D1505">
        <v>101151</v>
      </c>
      <c r="E1505" t="s">
        <v>2938</v>
      </c>
      <c r="F1505" t="s">
        <v>2939</v>
      </c>
      <c r="G1505" t="s">
        <v>2940</v>
      </c>
      <c r="H1505" t="s">
        <v>2941</v>
      </c>
      <c r="I1505" t="s">
        <v>54</v>
      </c>
      <c r="J1505" t="s">
        <v>2942</v>
      </c>
      <c r="K1505" t="s">
        <v>56</v>
      </c>
      <c r="L1505">
        <v>0</v>
      </c>
      <c r="M1505" t="s">
        <v>73</v>
      </c>
      <c r="N1505">
        <v>0</v>
      </c>
      <c r="O1505" t="s">
        <v>58</v>
      </c>
      <c r="P1505" t="s">
        <v>59</v>
      </c>
      <c r="Q1505" t="s">
        <v>959</v>
      </c>
      <c r="R1505" t="s">
        <v>2942</v>
      </c>
      <c r="S1505" s="1">
        <v>44424</v>
      </c>
      <c r="T1505" s="1">
        <v>44426</v>
      </c>
      <c r="U1505">
        <v>37501</v>
      </c>
      <c r="V1505" t="s">
        <v>104</v>
      </c>
      <c r="W1505" t="s">
        <v>2943</v>
      </c>
      <c r="X1505" s="1">
        <v>44427</v>
      </c>
      <c r="Y1505" t="s">
        <v>100</v>
      </c>
      <c r="Z1505">
        <v>87.96</v>
      </c>
      <c r="AA1505">
        <v>16</v>
      </c>
      <c r="AB1505">
        <v>7.04</v>
      </c>
      <c r="AC1505">
        <v>0</v>
      </c>
      <c r="AD1505">
        <v>95</v>
      </c>
      <c r="AE1505">
        <v>5709.9</v>
      </c>
      <c r="AF1505">
        <v>2727</v>
      </c>
      <c r="AG1505" t="s">
        <v>2944</v>
      </c>
      <c r="AH1505" t="s">
        <v>65</v>
      </c>
      <c r="AI1505" t="s">
        <v>65</v>
      </c>
      <c r="AJ1505" t="s">
        <v>66</v>
      </c>
      <c r="AK1505" t="s">
        <v>66</v>
      </c>
      <c r="AL1505" t="s">
        <v>66</v>
      </c>
      <c r="AM1505" s="2" t="str">
        <f>HYPERLINK("https://transparencia.cidesi.mx/comprobantes/2021/CQ2100669 /C269711083 STAR.pdf")</f>
        <v>https://transparencia.cidesi.mx/comprobantes/2021/CQ2100669 /C269711083 STAR.pdf</v>
      </c>
      <c r="AN1505" t="str">
        <f>HYPERLINK("https://transparencia.cidesi.mx/comprobantes/2021/CQ2100669 /C269711083 STAR.pdf")</f>
        <v>https://transparencia.cidesi.mx/comprobantes/2021/CQ2100669 /C269711083 STAR.pdf</v>
      </c>
      <c r="AO1505" t="str">
        <f>HYPERLINK("https://transparencia.cidesi.mx/comprobantes/2021/CQ2100669 /C269711083 STAR.xml")</f>
        <v>https://transparencia.cidesi.mx/comprobantes/2021/CQ2100669 /C269711083 STAR.xml</v>
      </c>
      <c r="AP1505" t="s">
        <v>2945</v>
      </c>
      <c r="AQ1505" t="s">
        <v>2946</v>
      </c>
      <c r="AR1505" t="s">
        <v>2947</v>
      </c>
      <c r="AS1505" t="s">
        <v>2948</v>
      </c>
      <c r="AT1505" s="1">
        <v>44434</v>
      </c>
      <c r="AU1505" t="s">
        <v>73</v>
      </c>
    </row>
    <row r="1506" spans="1:47" x14ac:dyDescent="0.3">
      <c r="A1506" t="s">
        <v>2936</v>
      </c>
      <c r="B1506" t="s">
        <v>80</v>
      </c>
      <c r="C1506" t="s">
        <v>2937</v>
      </c>
      <c r="D1506">
        <v>101151</v>
      </c>
      <c r="E1506" t="s">
        <v>2938</v>
      </c>
      <c r="F1506" t="s">
        <v>2939</v>
      </c>
      <c r="G1506" t="s">
        <v>2940</v>
      </c>
      <c r="H1506" t="s">
        <v>2941</v>
      </c>
      <c r="I1506" t="s">
        <v>54</v>
      </c>
      <c r="J1506" t="s">
        <v>2942</v>
      </c>
      <c r="K1506" t="s">
        <v>56</v>
      </c>
      <c r="L1506">
        <v>0</v>
      </c>
      <c r="M1506" t="s">
        <v>73</v>
      </c>
      <c r="N1506">
        <v>0</v>
      </c>
      <c r="O1506" t="s">
        <v>58</v>
      </c>
      <c r="P1506" t="s">
        <v>59</v>
      </c>
      <c r="Q1506" t="s">
        <v>959</v>
      </c>
      <c r="R1506" t="s">
        <v>2942</v>
      </c>
      <c r="S1506" s="1">
        <v>44424</v>
      </c>
      <c r="T1506" s="1">
        <v>44426</v>
      </c>
      <c r="U1506">
        <v>37501</v>
      </c>
      <c r="V1506" t="s">
        <v>61</v>
      </c>
      <c r="W1506" t="s">
        <v>2943</v>
      </c>
      <c r="X1506" s="1">
        <v>44427</v>
      </c>
      <c r="Y1506" t="s">
        <v>100</v>
      </c>
      <c r="Z1506">
        <v>87.96</v>
      </c>
      <c r="AA1506">
        <v>16</v>
      </c>
      <c r="AB1506">
        <v>7.04</v>
      </c>
      <c r="AC1506">
        <v>0</v>
      </c>
      <c r="AD1506">
        <v>95</v>
      </c>
      <c r="AE1506">
        <v>5709.9</v>
      </c>
      <c r="AF1506">
        <v>2727</v>
      </c>
      <c r="AG1506" t="s">
        <v>2949</v>
      </c>
      <c r="AH1506" t="s">
        <v>65</v>
      </c>
      <c r="AI1506" t="s">
        <v>65</v>
      </c>
      <c r="AJ1506" t="s">
        <v>66</v>
      </c>
      <c r="AK1506" t="s">
        <v>66</v>
      </c>
      <c r="AL1506" t="s">
        <v>66</v>
      </c>
      <c r="AM1506" s="2" t="str">
        <f>HYPERLINK("https://transparencia.cidesi.mx/comprobantes/2021/CQ2100669 /C3PRB100802H20_V_8699985_CID840309UG7 KFC.pdf")</f>
        <v>https://transparencia.cidesi.mx/comprobantes/2021/CQ2100669 /C3PRB100802H20_V_8699985_CID840309UG7 KFC.pdf</v>
      </c>
      <c r="AN1506" t="str">
        <f>HYPERLINK("https://transparencia.cidesi.mx/comprobantes/2021/CQ2100669 /C3PRB100802H20_V_8699985_CID840309UG7 KFC.pdf")</f>
        <v>https://transparencia.cidesi.mx/comprobantes/2021/CQ2100669 /C3PRB100802H20_V_8699985_CID840309UG7 KFC.pdf</v>
      </c>
      <c r="AO1506" t="str">
        <f>HYPERLINK("https://transparencia.cidesi.mx/comprobantes/2021/CQ2100669 /C3PRB100802H20_V_8699985_CID840309UG7 KFC.xml")</f>
        <v>https://transparencia.cidesi.mx/comprobantes/2021/CQ2100669 /C3PRB100802H20_V_8699985_CID840309UG7 KFC.xml</v>
      </c>
      <c r="AP1506" t="s">
        <v>2945</v>
      </c>
      <c r="AQ1506" t="s">
        <v>2946</v>
      </c>
      <c r="AR1506" t="s">
        <v>2947</v>
      </c>
      <c r="AS1506" t="s">
        <v>2948</v>
      </c>
      <c r="AT1506" s="1">
        <v>44434</v>
      </c>
      <c r="AU1506" t="s">
        <v>73</v>
      </c>
    </row>
    <row r="1507" spans="1:47" x14ac:dyDescent="0.3">
      <c r="A1507" t="s">
        <v>2936</v>
      </c>
      <c r="B1507" t="s">
        <v>80</v>
      </c>
      <c r="C1507" t="s">
        <v>2937</v>
      </c>
      <c r="D1507">
        <v>101151</v>
      </c>
      <c r="E1507" t="s">
        <v>2938</v>
      </c>
      <c r="F1507" t="s">
        <v>2939</v>
      </c>
      <c r="G1507" t="s">
        <v>2940</v>
      </c>
      <c r="H1507" t="s">
        <v>2941</v>
      </c>
      <c r="I1507" t="s">
        <v>54</v>
      </c>
      <c r="J1507" t="s">
        <v>2942</v>
      </c>
      <c r="K1507" t="s">
        <v>56</v>
      </c>
      <c r="L1507">
        <v>0</v>
      </c>
      <c r="M1507" t="s">
        <v>73</v>
      </c>
      <c r="N1507">
        <v>0</v>
      </c>
      <c r="O1507" t="s">
        <v>58</v>
      </c>
      <c r="P1507" t="s">
        <v>59</v>
      </c>
      <c r="Q1507" t="s">
        <v>959</v>
      </c>
      <c r="R1507" t="s">
        <v>2942</v>
      </c>
      <c r="S1507" s="1">
        <v>44424</v>
      </c>
      <c r="T1507" s="1">
        <v>44426</v>
      </c>
      <c r="U1507">
        <v>37501</v>
      </c>
      <c r="V1507" t="s">
        <v>61</v>
      </c>
      <c r="W1507" t="s">
        <v>2943</v>
      </c>
      <c r="X1507" s="1">
        <v>44427</v>
      </c>
      <c r="Y1507" t="s">
        <v>100</v>
      </c>
      <c r="Z1507">
        <v>124.5</v>
      </c>
      <c r="AA1507">
        <v>0</v>
      </c>
      <c r="AB1507">
        <v>0</v>
      </c>
      <c r="AC1507">
        <v>0</v>
      </c>
      <c r="AD1507">
        <v>124.5</v>
      </c>
      <c r="AE1507">
        <v>5709.9</v>
      </c>
      <c r="AF1507">
        <v>2727</v>
      </c>
      <c r="AG1507" t="s">
        <v>2949</v>
      </c>
      <c r="AH1507" t="s">
        <v>65</v>
      </c>
      <c r="AI1507" t="s">
        <v>65</v>
      </c>
      <c r="AJ1507" t="s">
        <v>66</v>
      </c>
      <c r="AK1507" t="s">
        <v>66</v>
      </c>
      <c r="AL1507" t="s">
        <v>66</v>
      </c>
      <c r="AM1507" s="2" t="str">
        <f>HYPERLINK("https://transparencia.cidesi.mx/comprobantes/2021/CQ2100669 /C4SECFD_20210817_083702 WAL.pdf")</f>
        <v>https://transparencia.cidesi.mx/comprobantes/2021/CQ2100669 /C4SECFD_20210817_083702 WAL.pdf</v>
      </c>
      <c r="AN1507" t="str">
        <f>HYPERLINK("https://transparencia.cidesi.mx/comprobantes/2021/CQ2100669 /C4SECFD_20210817_083702 WAL.pdf")</f>
        <v>https://transparencia.cidesi.mx/comprobantes/2021/CQ2100669 /C4SECFD_20210817_083702 WAL.pdf</v>
      </c>
      <c r="AO1507" t="str">
        <f>HYPERLINK("https://transparencia.cidesi.mx/comprobantes/2021/CQ2100669 /C4SECFD_20210817_083702 WAL.xml")</f>
        <v>https://transparencia.cidesi.mx/comprobantes/2021/CQ2100669 /C4SECFD_20210817_083702 WAL.xml</v>
      </c>
      <c r="AP1507" t="s">
        <v>2945</v>
      </c>
      <c r="AQ1507" t="s">
        <v>2946</v>
      </c>
      <c r="AR1507" t="s">
        <v>2947</v>
      </c>
      <c r="AS1507" t="s">
        <v>2948</v>
      </c>
      <c r="AT1507" s="1">
        <v>44434</v>
      </c>
      <c r="AU1507" t="s">
        <v>73</v>
      </c>
    </row>
    <row r="1508" spans="1:47" x14ac:dyDescent="0.3">
      <c r="A1508" t="s">
        <v>2936</v>
      </c>
      <c r="B1508" t="s">
        <v>80</v>
      </c>
      <c r="C1508" t="s">
        <v>2937</v>
      </c>
      <c r="D1508">
        <v>101151</v>
      </c>
      <c r="E1508" t="s">
        <v>2938</v>
      </c>
      <c r="F1508" t="s">
        <v>2939</v>
      </c>
      <c r="G1508" t="s">
        <v>2940</v>
      </c>
      <c r="H1508" t="s">
        <v>2941</v>
      </c>
      <c r="I1508" t="s">
        <v>54</v>
      </c>
      <c r="J1508" t="s">
        <v>2942</v>
      </c>
      <c r="K1508" t="s">
        <v>56</v>
      </c>
      <c r="L1508">
        <v>0</v>
      </c>
      <c r="M1508" t="s">
        <v>73</v>
      </c>
      <c r="N1508">
        <v>0</v>
      </c>
      <c r="O1508" t="s">
        <v>58</v>
      </c>
      <c r="P1508" t="s">
        <v>59</v>
      </c>
      <c r="Q1508" t="s">
        <v>959</v>
      </c>
      <c r="R1508" t="s">
        <v>2942</v>
      </c>
      <c r="S1508" s="1">
        <v>44424</v>
      </c>
      <c r="T1508" s="1">
        <v>44426</v>
      </c>
      <c r="U1508">
        <v>37501</v>
      </c>
      <c r="V1508" t="s">
        <v>61</v>
      </c>
      <c r="W1508" t="s">
        <v>2943</v>
      </c>
      <c r="X1508" s="1">
        <v>44427</v>
      </c>
      <c r="Y1508" t="s">
        <v>100</v>
      </c>
      <c r="Z1508">
        <v>27.5</v>
      </c>
      <c r="AA1508">
        <v>0</v>
      </c>
      <c r="AB1508">
        <v>0</v>
      </c>
      <c r="AC1508">
        <v>0</v>
      </c>
      <c r="AD1508">
        <v>27.5</v>
      </c>
      <c r="AE1508">
        <v>5709.9</v>
      </c>
      <c r="AF1508">
        <v>2727</v>
      </c>
      <c r="AG1508" t="s">
        <v>2949</v>
      </c>
      <c r="AH1508" t="s">
        <v>65</v>
      </c>
      <c r="AI1508" t="s">
        <v>65</v>
      </c>
      <c r="AJ1508" t="s">
        <v>66</v>
      </c>
      <c r="AK1508" t="s">
        <v>66</v>
      </c>
      <c r="AL1508" t="s">
        <v>66</v>
      </c>
      <c r="AM1508" s="2" t="str">
        <f>HYPERLINK("https://transparencia.cidesi.mx/comprobantes/2021/CQ2100669 /C5SEM980701STA_CID840309UG7_0988_52360 7-11-1.pdf")</f>
        <v>https://transparencia.cidesi.mx/comprobantes/2021/CQ2100669 /C5SEM980701STA_CID840309UG7_0988_52360 7-11-1.pdf</v>
      </c>
      <c r="AN1508" t="str">
        <f>HYPERLINK("https://transparencia.cidesi.mx/comprobantes/2021/CQ2100669 /C5SEM980701STA_CID840309UG7_0988_52360 7-11-1.pdf")</f>
        <v>https://transparencia.cidesi.mx/comprobantes/2021/CQ2100669 /C5SEM980701STA_CID840309UG7_0988_52360 7-11-1.pdf</v>
      </c>
      <c r="AO1508" t="str">
        <f>HYPERLINK("https://transparencia.cidesi.mx/comprobantes/2021/CQ2100669 /C5SEM980701STA_CID840309UG7_0988_52360 7-11-1.xml")</f>
        <v>https://transparencia.cidesi.mx/comprobantes/2021/CQ2100669 /C5SEM980701STA_CID840309UG7_0988_52360 7-11-1.xml</v>
      </c>
      <c r="AP1508" t="s">
        <v>2945</v>
      </c>
      <c r="AQ1508" t="s">
        <v>2946</v>
      </c>
      <c r="AR1508" t="s">
        <v>2947</v>
      </c>
      <c r="AS1508" t="s">
        <v>2948</v>
      </c>
      <c r="AT1508" s="1">
        <v>44434</v>
      </c>
      <c r="AU1508" t="s">
        <v>73</v>
      </c>
    </row>
    <row r="1509" spans="1:47" x14ac:dyDescent="0.3">
      <c r="A1509" t="s">
        <v>2936</v>
      </c>
      <c r="B1509" t="s">
        <v>80</v>
      </c>
      <c r="C1509" t="s">
        <v>2937</v>
      </c>
      <c r="D1509">
        <v>101151</v>
      </c>
      <c r="E1509" t="s">
        <v>2938</v>
      </c>
      <c r="F1509" t="s">
        <v>2939</v>
      </c>
      <c r="G1509" t="s">
        <v>2940</v>
      </c>
      <c r="H1509" t="s">
        <v>2941</v>
      </c>
      <c r="I1509" t="s">
        <v>54</v>
      </c>
      <c r="J1509" t="s">
        <v>2942</v>
      </c>
      <c r="K1509" t="s">
        <v>56</v>
      </c>
      <c r="L1509">
        <v>0</v>
      </c>
      <c r="M1509" t="s">
        <v>73</v>
      </c>
      <c r="N1509">
        <v>0</v>
      </c>
      <c r="O1509" t="s">
        <v>58</v>
      </c>
      <c r="P1509" t="s">
        <v>59</v>
      </c>
      <c r="Q1509" t="s">
        <v>959</v>
      </c>
      <c r="R1509" t="s">
        <v>2942</v>
      </c>
      <c r="S1509" s="1">
        <v>44424</v>
      </c>
      <c r="T1509" s="1">
        <v>44426</v>
      </c>
      <c r="U1509">
        <v>37501</v>
      </c>
      <c r="V1509" t="s">
        <v>61</v>
      </c>
      <c r="W1509" t="s">
        <v>2943</v>
      </c>
      <c r="X1509" s="1">
        <v>44427</v>
      </c>
      <c r="Y1509" t="s">
        <v>100</v>
      </c>
      <c r="Z1509">
        <v>77</v>
      </c>
      <c r="AA1509">
        <v>0</v>
      </c>
      <c r="AB1509">
        <v>0</v>
      </c>
      <c r="AC1509">
        <v>0</v>
      </c>
      <c r="AD1509">
        <v>77</v>
      </c>
      <c r="AE1509">
        <v>5709.9</v>
      </c>
      <c r="AF1509">
        <v>2727</v>
      </c>
      <c r="AG1509" t="s">
        <v>2949</v>
      </c>
      <c r="AH1509" t="s">
        <v>65</v>
      </c>
      <c r="AI1509" t="s">
        <v>65</v>
      </c>
      <c r="AJ1509" t="s">
        <v>66</v>
      </c>
      <c r="AK1509" t="s">
        <v>66</v>
      </c>
      <c r="AL1509" t="s">
        <v>66</v>
      </c>
      <c r="AM1509" s="2" t="str">
        <f>HYPERLINK("https://transparencia.cidesi.mx/comprobantes/2021/CQ2100669 /C6SEM980701STA_CID840309UG7_1466_7887 7-11-2.pdf")</f>
        <v>https://transparencia.cidesi.mx/comprobantes/2021/CQ2100669 /C6SEM980701STA_CID840309UG7_1466_7887 7-11-2.pdf</v>
      </c>
      <c r="AN1509" t="str">
        <f>HYPERLINK("https://transparencia.cidesi.mx/comprobantes/2021/CQ2100669 /C6SEM980701STA_CID840309UG7_1466_7887 7-11-2.pdf")</f>
        <v>https://transparencia.cidesi.mx/comprobantes/2021/CQ2100669 /C6SEM980701STA_CID840309UG7_1466_7887 7-11-2.pdf</v>
      </c>
      <c r="AO1509" t="str">
        <f>HYPERLINK("https://transparencia.cidesi.mx/comprobantes/2021/CQ2100669 /C6SEM980701STA_CID840309UG7_1466_7887 7-11-2.xml")</f>
        <v>https://transparencia.cidesi.mx/comprobantes/2021/CQ2100669 /C6SEM980701STA_CID840309UG7_1466_7887 7-11-2.xml</v>
      </c>
      <c r="AP1509" t="s">
        <v>2945</v>
      </c>
      <c r="AQ1509" t="s">
        <v>2946</v>
      </c>
      <c r="AR1509" t="s">
        <v>2947</v>
      </c>
      <c r="AS1509" t="s">
        <v>2948</v>
      </c>
      <c r="AT1509" s="1">
        <v>44434</v>
      </c>
      <c r="AU1509" t="s">
        <v>73</v>
      </c>
    </row>
    <row r="1510" spans="1:47" x14ac:dyDescent="0.3">
      <c r="A1510" t="s">
        <v>2936</v>
      </c>
      <c r="B1510" t="s">
        <v>80</v>
      </c>
      <c r="C1510" t="s">
        <v>2937</v>
      </c>
      <c r="D1510">
        <v>101151</v>
      </c>
      <c r="E1510" t="s">
        <v>2938</v>
      </c>
      <c r="F1510" t="s">
        <v>2939</v>
      </c>
      <c r="G1510" t="s">
        <v>2940</v>
      </c>
      <c r="H1510" t="s">
        <v>2941</v>
      </c>
      <c r="I1510" t="s">
        <v>54</v>
      </c>
      <c r="J1510" t="s">
        <v>2942</v>
      </c>
      <c r="K1510" t="s">
        <v>56</v>
      </c>
      <c r="L1510">
        <v>0</v>
      </c>
      <c r="M1510" t="s">
        <v>73</v>
      </c>
      <c r="N1510">
        <v>0</v>
      </c>
      <c r="O1510" t="s">
        <v>58</v>
      </c>
      <c r="P1510" t="s">
        <v>59</v>
      </c>
      <c r="Q1510" t="s">
        <v>959</v>
      </c>
      <c r="R1510" t="s">
        <v>2942</v>
      </c>
      <c r="S1510" s="1">
        <v>44424</v>
      </c>
      <c r="T1510" s="1">
        <v>44426</v>
      </c>
      <c r="U1510">
        <v>37501</v>
      </c>
      <c r="V1510" t="s">
        <v>61</v>
      </c>
      <c r="W1510" t="s">
        <v>2943</v>
      </c>
      <c r="X1510" s="1">
        <v>44427</v>
      </c>
      <c r="Y1510" t="s">
        <v>100</v>
      </c>
      <c r="Z1510">
        <v>143.19</v>
      </c>
      <c r="AA1510">
        <v>16</v>
      </c>
      <c r="AB1510">
        <v>7.31</v>
      </c>
      <c r="AC1510">
        <v>0</v>
      </c>
      <c r="AD1510">
        <v>150.5</v>
      </c>
      <c r="AE1510">
        <v>5709.9</v>
      </c>
      <c r="AF1510">
        <v>2727</v>
      </c>
      <c r="AG1510" t="s">
        <v>2949</v>
      </c>
      <c r="AH1510" t="s">
        <v>65</v>
      </c>
      <c r="AI1510" t="s">
        <v>65</v>
      </c>
      <c r="AJ1510" t="s">
        <v>66</v>
      </c>
      <c r="AK1510" t="s">
        <v>66</v>
      </c>
      <c r="AL1510" t="s">
        <v>66</v>
      </c>
      <c r="AM1510" s="2" t="str">
        <f>HYPERLINK("https://transparencia.cidesi.mx/comprobantes/2021/CQ2100669 /C7SEM980701STA_CID840309UG7_0988_52379 7-11-3.pdf")</f>
        <v>https://transparencia.cidesi.mx/comprobantes/2021/CQ2100669 /C7SEM980701STA_CID840309UG7_0988_52379 7-11-3.pdf</v>
      </c>
      <c r="AN1510" t="str">
        <f>HYPERLINK("https://transparencia.cidesi.mx/comprobantes/2021/CQ2100669 /C7SEM980701STA_CID840309UG7_0988_52379 7-11-3.pdf")</f>
        <v>https://transparencia.cidesi.mx/comprobantes/2021/CQ2100669 /C7SEM980701STA_CID840309UG7_0988_52379 7-11-3.pdf</v>
      </c>
      <c r="AO1510" t="str">
        <f>HYPERLINK("https://transparencia.cidesi.mx/comprobantes/2021/CQ2100669 /C7SEM980701STA_CID840309UG7_0988_52379 7-11-3.xml")</f>
        <v>https://transparencia.cidesi.mx/comprobantes/2021/CQ2100669 /C7SEM980701STA_CID840309UG7_0988_52379 7-11-3.xml</v>
      </c>
      <c r="AP1510" t="s">
        <v>2945</v>
      </c>
      <c r="AQ1510" t="s">
        <v>2946</v>
      </c>
      <c r="AR1510" t="s">
        <v>2947</v>
      </c>
      <c r="AS1510" t="s">
        <v>2948</v>
      </c>
      <c r="AT1510" s="1">
        <v>44434</v>
      </c>
      <c r="AU1510" t="s">
        <v>73</v>
      </c>
    </row>
    <row r="1511" spans="1:47" x14ac:dyDescent="0.3">
      <c r="A1511" t="s">
        <v>2936</v>
      </c>
      <c r="B1511" t="s">
        <v>80</v>
      </c>
      <c r="C1511" t="s">
        <v>2937</v>
      </c>
      <c r="D1511">
        <v>101151</v>
      </c>
      <c r="E1511" t="s">
        <v>2938</v>
      </c>
      <c r="F1511" t="s">
        <v>2939</v>
      </c>
      <c r="G1511" t="s">
        <v>2940</v>
      </c>
      <c r="H1511" t="s">
        <v>2941</v>
      </c>
      <c r="I1511" t="s">
        <v>54</v>
      </c>
      <c r="J1511" t="s">
        <v>2942</v>
      </c>
      <c r="K1511" t="s">
        <v>56</v>
      </c>
      <c r="L1511">
        <v>0</v>
      </c>
      <c r="M1511" t="s">
        <v>73</v>
      </c>
      <c r="N1511">
        <v>0</v>
      </c>
      <c r="O1511" t="s">
        <v>58</v>
      </c>
      <c r="P1511" t="s">
        <v>59</v>
      </c>
      <c r="Q1511" t="s">
        <v>959</v>
      </c>
      <c r="R1511" t="s">
        <v>2942</v>
      </c>
      <c r="S1511" s="1">
        <v>44424</v>
      </c>
      <c r="T1511" s="1">
        <v>44426</v>
      </c>
      <c r="U1511">
        <v>37501</v>
      </c>
      <c r="V1511" t="s">
        <v>61</v>
      </c>
      <c r="W1511" t="s">
        <v>2943</v>
      </c>
      <c r="X1511" s="1">
        <v>44427</v>
      </c>
      <c r="Y1511" t="s">
        <v>100</v>
      </c>
      <c r="Z1511">
        <v>189.81</v>
      </c>
      <c r="AA1511">
        <v>8</v>
      </c>
      <c r="AB1511">
        <v>15.19</v>
      </c>
      <c r="AC1511">
        <v>20</v>
      </c>
      <c r="AD1511">
        <v>225</v>
      </c>
      <c r="AE1511">
        <v>5709.9</v>
      </c>
      <c r="AF1511">
        <v>2727</v>
      </c>
      <c r="AG1511" t="s">
        <v>2949</v>
      </c>
      <c r="AH1511" t="s">
        <v>65</v>
      </c>
      <c r="AI1511" t="s">
        <v>65</v>
      </c>
      <c r="AJ1511" t="s">
        <v>66</v>
      </c>
      <c r="AK1511" t="s">
        <v>66</v>
      </c>
      <c r="AL1511" t="s">
        <v>66</v>
      </c>
      <c r="AM1511" s="2" t="str">
        <f>HYPERLINK("https://transparencia.cidesi.mx/comprobantes/2021/CQ2100669 /C81522GDB.pdf")</f>
        <v>https://transparencia.cidesi.mx/comprobantes/2021/CQ2100669 /C81522GDB.pdf</v>
      </c>
      <c r="AN1511" t="str">
        <f>HYPERLINK("https://transparencia.cidesi.mx/comprobantes/2021/CQ2100669 /C81522GDB.pdf")</f>
        <v>https://transparencia.cidesi.mx/comprobantes/2021/CQ2100669 /C81522GDB.pdf</v>
      </c>
      <c r="AO1511" t="str">
        <f>HYPERLINK("https://transparencia.cidesi.mx/comprobantes/2021/CQ2100669 /C81522GDB.xml")</f>
        <v>https://transparencia.cidesi.mx/comprobantes/2021/CQ2100669 /C81522GDB.xml</v>
      </c>
      <c r="AP1511" t="s">
        <v>2945</v>
      </c>
      <c r="AQ1511" t="s">
        <v>2946</v>
      </c>
      <c r="AR1511" t="s">
        <v>2947</v>
      </c>
      <c r="AS1511" t="s">
        <v>2948</v>
      </c>
      <c r="AT1511" s="1">
        <v>44434</v>
      </c>
      <c r="AU1511" t="s">
        <v>73</v>
      </c>
    </row>
    <row r="1512" spans="1:47" x14ac:dyDescent="0.3">
      <c r="A1512" t="s">
        <v>2936</v>
      </c>
      <c r="B1512" t="s">
        <v>80</v>
      </c>
      <c r="C1512" t="s">
        <v>2937</v>
      </c>
      <c r="D1512">
        <v>101151</v>
      </c>
      <c r="E1512" t="s">
        <v>2938</v>
      </c>
      <c r="F1512" t="s">
        <v>2939</v>
      </c>
      <c r="G1512" t="s">
        <v>2940</v>
      </c>
      <c r="H1512" t="s">
        <v>2941</v>
      </c>
      <c r="I1512" t="s">
        <v>54</v>
      </c>
      <c r="J1512" t="s">
        <v>2942</v>
      </c>
      <c r="K1512" t="s">
        <v>56</v>
      </c>
      <c r="L1512">
        <v>0</v>
      </c>
      <c r="M1512" t="s">
        <v>73</v>
      </c>
      <c r="N1512">
        <v>0</v>
      </c>
      <c r="O1512" t="s">
        <v>58</v>
      </c>
      <c r="P1512" t="s">
        <v>59</v>
      </c>
      <c r="Q1512" t="s">
        <v>959</v>
      </c>
      <c r="R1512" t="s">
        <v>2942</v>
      </c>
      <c r="S1512" s="1">
        <v>44424</v>
      </c>
      <c r="T1512" s="1">
        <v>44426</v>
      </c>
      <c r="U1512">
        <v>37501</v>
      </c>
      <c r="V1512" t="s">
        <v>61</v>
      </c>
      <c r="W1512" t="s">
        <v>2943</v>
      </c>
      <c r="X1512" s="1">
        <v>44427</v>
      </c>
      <c r="Y1512" t="s">
        <v>100</v>
      </c>
      <c r="Z1512">
        <v>359.26</v>
      </c>
      <c r="AA1512">
        <v>16</v>
      </c>
      <c r="AB1512">
        <v>28.74</v>
      </c>
      <c r="AC1512">
        <v>40</v>
      </c>
      <c r="AD1512">
        <v>428</v>
      </c>
      <c r="AE1512">
        <v>5709.9</v>
      </c>
      <c r="AF1512">
        <v>2727</v>
      </c>
      <c r="AG1512" t="s">
        <v>2949</v>
      </c>
      <c r="AH1512" t="s">
        <v>65</v>
      </c>
      <c r="AI1512" t="s">
        <v>65</v>
      </c>
      <c r="AJ1512" t="s">
        <v>66</v>
      </c>
      <c r="AK1512" t="s">
        <v>66</v>
      </c>
      <c r="AL1512" t="s">
        <v>66</v>
      </c>
      <c r="AM1512" s="2" t="str">
        <f>HYPERLINK("https://transparencia.cidesi.mx/comprobantes/2021/CQ2100669 /C91523GDB.pdf")</f>
        <v>https://transparencia.cidesi.mx/comprobantes/2021/CQ2100669 /C91523GDB.pdf</v>
      </c>
      <c r="AN1512" t="str">
        <f>HYPERLINK("https://transparencia.cidesi.mx/comprobantes/2021/CQ2100669 /C91523GDB.pdf")</f>
        <v>https://transparencia.cidesi.mx/comprobantes/2021/CQ2100669 /C91523GDB.pdf</v>
      </c>
      <c r="AO1512" t="str">
        <f>HYPERLINK("https://transparencia.cidesi.mx/comprobantes/2021/CQ2100669 /C91523GDB.xml")</f>
        <v>https://transparencia.cidesi.mx/comprobantes/2021/CQ2100669 /C91523GDB.xml</v>
      </c>
      <c r="AP1512" t="s">
        <v>2945</v>
      </c>
      <c r="AQ1512" t="s">
        <v>2946</v>
      </c>
      <c r="AR1512" t="s">
        <v>2947</v>
      </c>
      <c r="AS1512" t="s">
        <v>2948</v>
      </c>
      <c r="AT1512" s="1">
        <v>44434</v>
      </c>
      <c r="AU1512" t="s">
        <v>73</v>
      </c>
    </row>
    <row r="1513" spans="1:47" x14ac:dyDescent="0.3">
      <c r="A1513" t="s">
        <v>2936</v>
      </c>
      <c r="B1513" t="s">
        <v>80</v>
      </c>
      <c r="C1513" t="s">
        <v>2937</v>
      </c>
      <c r="D1513">
        <v>101151</v>
      </c>
      <c r="E1513" t="s">
        <v>2938</v>
      </c>
      <c r="F1513" t="s">
        <v>2939</v>
      </c>
      <c r="G1513" t="s">
        <v>2940</v>
      </c>
      <c r="H1513" t="s">
        <v>2941</v>
      </c>
      <c r="I1513" t="s">
        <v>54</v>
      </c>
      <c r="J1513" t="s">
        <v>2942</v>
      </c>
      <c r="K1513" t="s">
        <v>56</v>
      </c>
      <c r="L1513">
        <v>0</v>
      </c>
      <c r="M1513" t="s">
        <v>73</v>
      </c>
      <c r="N1513">
        <v>0</v>
      </c>
      <c r="O1513" t="s">
        <v>58</v>
      </c>
      <c r="P1513" t="s">
        <v>59</v>
      </c>
      <c r="Q1513" t="s">
        <v>959</v>
      </c>
      <c r="R1513" t="s">
        <v>2942</v>
      </c>
      <c r="S1513" s="1">
        <v>44424</v>
      </c>
      <c r="T1513" s="1">
        <v>44426</v>
      </c>
      <c r="U1513">
        <v>37501</v>
      </c>
      <c r="V1513" t="s">
        <v>61</v>
      </c>
      <c r="W1513" t="s">
        <v>2943</v>
      </c>
      <c r="X1513" s="1">
        <v>44427</v>
      </c>
      <c r="Y1513" t="s">
        <v>100</v>
      </c>
      <c r="Z1513">
        <v>212.96</v>
      </c>
      <c r="AA1513">
        <v>16</v>
      </c>
      <c r="AB1513">
        <v>17.04</v>
      </c>
      <c r="AC1513">
        <v>23</v>
      </c>
      <c r="AD1513">
        <v>253</v>
      </c>
      <c r="AE1513">
        <v>5709.9</v>
      </c>
      <c r="AF1513">
        <v>2727</v>
      </c>
      <c r="AG1513" t="s">
        <v>2949</v>
      </c>
      <c r="AH1513" t="s">
        <v>65</v>
      </c>
      <c r="AI1513" t="s">
        <v>65</v>
      </c>
      <c r="AJ1513" t="s">
        <v>66</v>
      </c>
      <c r="AK1513" t="s">
        <v>66</v>
      </c>
      <c r="AL1513" t="s">
        <v>66</v>
      </c>
      <c r="AM1513" s="2" t="str">
        <f>HYPERLINK("https://transparencia.cidesi.mx/comprobantes/2021/CQ2100669 /C101524GDB.pdf")</f>
        <v>https://transparencia.cidesi.mx/comprobantes/2021/CQ2100669 /C101524GDB.pdf</v>
      </c>
      <c r="AN1513" t="str">
        <f>HYPERLINK("https://transparencia.cidesi.mx/comprobantes/2021/CQ2100669 /C101524GDB.pdf")</f>
        <v>https://transparencia.cidesi.mx/comprobantes/2021/CQ2100669 /C101524GDB.pdf</v>
      </c>
      <c r="AO1513" t="str">
        <f>HYPERLINK("https://transparencia.cidesi.mx/comprobantes/2021/CQ2100669 /C101524GDB.xml")</f>
        <v>https://transparencia.cidesi.mx/comprobantes/2021/CQ2100669 /C101524GDB.xml</v>
      </c>
      <c r="AP1513" t="s">
        <v>2945</v>
      </c>
      <c r="AQ1513" t="s">
        <v>2946</v>
      </c>
      <c r="AR1513" t="s">
        <v>2947</v>
      </c>
      <c r="AS1513" t="s">
        <v>2948</v>
      </c>
      <c r="AT1513" s="1">
        <v>44434</v>
      </c>
      <c r="AU1513" t="s">
        <v>73</v>
      </c>
    </row>
    <row r="1514" spans="1:47" x14ac:dyDescent="0.3">
      <c r="A1514" t="s">
        <v>2936</v>
      </c>
      <c r="B1514" t="s">
        <v>80</v>
      </c>
      <c r="C1514" t="s">
        <v>2937</v>
      </c>
      <c r="D1514">
        <v>101151</v>
      </c>
      <c r="E1514" t="s">
        <v>2938</v>
      </c>
      <c r="F1514" t="s">
        <v>2939</v>
      </c>
      <c r="G1514" t="s">
        <v>2940</v>
      </c>
      <c r="H1514" t="s">
        <v>2941</v>
      </c>
      <c r="I1514" t="s">
        <v>54</v>
      </c>
      <c r="J1514" t="s">
        <v>2942</v>
      </c>
      <c r="K1514" t="s">
        <v>56</v>
      </c>
      <c r="L1514">
        <v>0</v>
      </c>
      <c r="M1514" t="s">
        <v>73</v>
      </c>
      <c r="N1514">
        <v>0</v>
      </c>
      <c r="O1514" t="s">
        <v>58</v>
      </c>
      <c r="P1514" t="s">
        <v>59</v>
      </c>
      <c r="Q1514" t="s">
        <v>959</v>
      </c>
      <c r="R1514" t="s">
        <v>2942</v>
      </c>
      <c r="S1514" s="1">
        <v>44424</v>
      </c>
      <c r="T1514" s="1">
        <v>44426</v>
      </c>
      <c r="U1514">
        <v>37201</v>
      </c>
      <c r="V1514" t="s">
        <v>417</v>
      </c>
      <c r="W1514" t="s">
        <v>2943</v>
      </c>
      <c r="X1514" s="1">
        <v>44427</v>
      </c>
      <c r="Y1514" t="s">
        <v>100</v>
      </c>
      <c r="Z1514">
        <v>732.76</v>
      </c>
      <c r="AA1514">
        <v>16</v>
      </c>
      <c r="AB1514">
        <v>117.24</v>
      </c>
      <c r="AC1514">
        <v>0</v>
      </c>
      <c r="AD1514">
        <v>850</v>
      </c>
      <c r="AE1514">
        <v>5709.9</v>
      </c>
      <c r="AF1514">
        <v>2727</v>
      </c>
      <c r="AG1514" t="s">
        <v>2950</v>
      </c>
      <c r="AH1514" t="s">
        <v>66</v>
      </c>
      <c r="AI1514" t="s">
        <v>65</v>
      </c>
      <c r="AJ1514" t="s">
        <v>66</v>
      </c>
      <c r="AK1514" t="s">
        <v>66</v>
      </c>
      <c r="AL1514" t="s">
        <v>66</v>
      </c>
      <c r="AM1514" s="2" t="str">
        <f>HYPERLINK("https://transparencia.cidesi.mx/comprobantes/2021/CQ2100669 /C110C63233D-4553-4E14-9ABA-689FE6320F64.pdf")</f>
        <v>https://transparencia.cidesi.mx/comprobantes/2021/CQ2100669 /C110C63233D-4553-4E14-9ABA-689FE6320F64.pdf</v>
      </c>
      <c r="AN1514" t="str">
        <f>HYPERLINK("https://transparencia.cidesi.mx/comprobantes/2021/CQ2100669 /C110C63233D-4553-4E14-9ABA-689FE6320F64.pdf")</f>
        <v>https://transparencia.cidesi.mx/comprobantes/2021/CQ2100669 /C110C63233D-4553-4E14-9ABA-689FE6320F64.pdf</v>
      </c>
      <c r="AO1514" t="str">
        <f>HYPERLINK("https://transparencia.cidesi.mx/comprobantes/2021/CQ2100669 /C110C63233D-4553-4E14-9ABA-689FE6320F64.xml")</f>
        <v>https://transparencia.cidesi.mx/comprobantes/2021/CQ2100669 /C110C63233D-4553-4E14-9ABA-689FE6320F64.xml</v>
      </c>
      <c r="AP1514" t="s">
        <v>2945</v>
      </c>
      <c r="AQ1514" t="s">
        <v>2946</v>
      </c>
      <c r="AR1514" t="s">
        <v>2947</v>
      </c>
      <c r="AS1514" t="s">
        <v>2948</v>
      </c>
      <c r="AT1514" s="1">
        <v>44434</v>
      </c>
      <c r="AU1514" t="s">
        <v>73</v>
      </c>
    </row>
    <row r="1515" spans="1:47" x14ac:dyDescent="0.3">
      <c r="A1515" t="s">
        <v>2936</v>
      </c>
      <c r="B1515" t="s">
        <v>80</v>
      </c>
      <c r="C1515" t="s">
        <v>2937</v>
      </c>
      <c r="D1515">
        <v>101151</v>
      </c>
      <c r="E1515" t="s">
        <v>2938</v>
      </c>
      <c r="F1515" t="s">
        <v>2939</v>
      </c>
      <c r="G1515" t="s">
        <v>2940</v>
      </c>
      <c r="H1515" t="s">
        <v>2941</v>
      </c>
      <c r="I1515" t="s">
        <v>54</v>
      </c>
      <c r="J1515" t="s">
        <v>2942</v>
      </c>
      <c r="K1515" t="s">
        <v>56</v>
      </c>
      <c r="L1515">
        <v>0</v>
      </c>
      <c r="M1515" t="s">
        <v>73</v>
      </c>
      <c r="N1515">
        <v>0</v>
      </c>
      <c r="O1515" t="s">
        <v>58</v>
      </c>
      <c r="P1515" t="s">
        <v>59</v>
      </c>
      <c r="Q1515" t="s">
        <v>959</v>
      </c>
      <c r="R1515" t="s">
        <v>2942</v>
      </c>
      <c r="S1515" s="1">
        <v>44424</v>
      </c>
      <c r="T1515" s="1">
        <v>44426</v>
      </c>
      <c r="U1515">
        <v>37501</v>
      </c>
      <c r="V1515" t="s">
        <v>534</v>
      </c>
      <c r="W1515" t="s">
        <v>2943</v>
      </c>
      <c r="X1515" s="1">
        <v>44427</v>
      </c>
      <c r="Y1515" t="s">
        <v>100</v>
      </c>
      <c r="Z1515">
        <v>74.02</v>
      </c>
      <c r="AA1515">
        <v>16</v>
      </c>
      <c r="AB1515">
        <v>5.92</v>
      </c>
      <c r="AC1515">
        <v>0</v>
      </c>
      <c r="AD1515">
        <v>79.94</v>
      </c>
      <c r="AE1515">
        <v>5709.9</v>
      </c>
      <c r="AF1515">
        <v>2727</v>
      </c>
      <c r="AG1515" t="s">
        <v>2951</v>
      </c>
      <c r="AH1515" t="s">
        <v>66</v>
      </c>
      <c r="AI1515" t="s">
        <v>65</v>
      </c>
      <c r="AJ1515" t="s">
        <v>66</v>
      </c>
      <c r="AK1515" t="s">
        <v>66</v>
      </c>
      <c r="AL1515" t="s">
        <v>66</v>
      </c>
      <c r="AM1515" s="2" t="str">
        <f>HYPERLINK("https://transparencia.cidesi.mx/comprobantes/2021/CQ2100669 /C122f6089e1-f33f-57e1-9771-b9b17318a24e 1.pdf")</f>
        <v>https://transparencia.cidesi.mx/comprobantes/2021/CQ2100669 /C122f6089e1-f33f-57e1-9771-b9b17318a24e 1.pdf</v>
      </c>
      <c r="AN1515" t="str">
        <f>HYPERLINK("https://transparencia.cidesi.mx/comprobantes/2021/CQ2100669 /C122f6089e1-f33f-57e1-9771-b9b17318a24e 1.pdf")</f>
        <v>https://transparencia.cidesi.mx/comprobantes/2021/CQ2100669 /C122f6089e1-f33f-57e1-9771-b9b17318a24e 1.pdf</v>
      </c>
      <c r="AO1515" t="str">
        <f>HYPERLINK("https://transparencia.cidesi.mx/comprobantes/2021/CQ2100669 /C122f6089e1-f33f-57e1-9771-b9b17318a24e 1.xml")</f>
        <v>https://transparencia.cidesi.mx/comprobantes/2021/CQ2100669 /C122f6089e1-f33f-57e1-9771-b9b17318a24e 1.xml</v>
      </c>
      <c r="AP1515" t="s">
        <v>2945</v>
      </c>
      <c r="AQ1515" t="s">
        <v>2946</v>
      </c>
      <c r="AR1515" t="s">
        <v>2947</v>
      </c>
      <c r="AS1515" t="s">
        <v>2948</v>
      </c>
      <c r="AT1515" s="1">
        <v>44434</v>
      </c>
      <c r="AU1515" t="s">
        <v>73</v>
      </c>
    </row>
    <row r="1516" spans="1:47" x14ac:dyDescent="0.3">
      <c r="A1516" t="s">
        <v>2936</v>
      </c>
      <c r="B1516" t="s">
        <v>80</v>
      </c>
      <c r="C1516" t="s">
        <v>2937</v>
      </c>
      <c r="D1516">
        <v>101151</v>
      </c>
      <c r="E1516" t="s">
        <v>2938</v>
      </c>
      <c r="F1516" t="s">
        <v>2939</v>
      </c>
      <c r="G1516" t="s">
        <v>2940</v>
      </c>
      <c r="H1516" t="s">
        <v>2941</v>
      </c>
      <c r="I1516" t="s">
        <v>54</v>
      </c>
      <c r="J1516" t="s">
        <v>2942</v>
      </c>
      <c r="K1516" t="s">
        <v>56</v>
      </c>
      <c r="L1516">
        <v>0</v>
      </c>
      <c r="M1516" t="s">
        <v>73</v>
      </c>
      <c r="N1516">
        <v>0</v>
      </c>
      <c r="O1516" t="s">
        <v>58</v>
      </c>
      <c r="P1516" t="s">
        <v>59</v>
      </c>
      <c r="Q1516" t="s">
        <v>959</v>
      </c>
      <c r="R1516" t="s">
        <v>2942</v>
      </c>
      <c r="S1516" s="1">
        <v>44424</v>
      </c>
      <c r="T1516" s="1">
        <v>44426</v>
      </c>
      <c r="U1516">
        <v>37501</v>
      </c>
      <c r="V1516" t="s">
        <v>534</v>
      </c>
      <c r="W1516" t="s">
        <v>2943</v>
      </c>
      <c r="X1516" s="1">
        <v>44427</v>
      </c>
      <c r="Y1516" t="s">
        <v>100</v>
      </c>
      <c r="Z1516">
        <v>120.31</v>
      </c>
      <c r="AA1516">
        <v>16</v>
      </c>
      <c r="AB1516">
        <v>9.6199999999999992</v>
      </c>
      <c r="AC1516">
        <v>0</v>
      </c>
      <c r="AD1516">
        <v>129.93</v>
      </c>
      <c r="AE1516">
        <v>5709.9</v>
      </c>
      <c r="AF1516">
        <v>2727</v>
      </c>
      <c r="AG1516" t="s">
        <v>2951</v>
      </c>
      <c r="AH1516" t="s">
        <v>66</v>
      </c>
      <c r="AI1516" t="s">
        <v>65</v>
      </c>
      <c r="AJ1516" t="s">
        <v>66</v>
      </c>
      <c r="AK1516" t="s">
        <v>66</v>
      </c>
      <c r="AL1516" t="s">
        <v>66</v>
      </c>
      <c r="AM1516" s="2" t="str">
        <f>HYPERLINK("https://transparencia.cidesi.mx/comprobantes/2021/CQ2100669 /C133aa5676c-2f68-5faf-93cc-10bdf9cf9d47 2.pdf")</f>
        <v>https://transparencia.cidesi.mx/comprobantes/2021/CQ2100669 /C133aa5676c-2f68-5faf-93cc-10bdf9cf9d47 2.pdf</v>
      </c>
      <c r="AN1516" t="str">
        <f>HYPERLINK("https://transparencia.cidesi.mx/comprobantes/2021/CQ2100669 /C133aa5676c-2f68-5faf-93cc-10bdf9cf9d47 2.pdf")</f>
        <v>https://transparencia.cidesi.mx/comprobantes/2021/CQ2100669 /C133aa5676c-2f68-5faf-93cc-10bdf9cf9d47 2.pdf</v>
      </c>
      <c r="AO1516" t="str">
        <f>HYPERLINK("https://transparencia.cidesi.mx/comprobantes/2021/CQ2100669 /C133aa5676c-2f68-5faf-93cc-10bdf9cf9d47 2.xml")</f>
        <v>https://transparencia.cidesi.mx/comprobantes/2021/CQ2100669 /C133aa5676c-2f68-5faf-93cc-10bdf9cf9d47 2.xml</v>
      </c>
      <c r="AP1516" t="s">
        <v>2945</v>
      </c>
      <c r="AQ1516" t="s">
        <v>2946</v>
      </c>
      <c r="AR1516" t="s">
        <v>2947</v>
      </c>
      <c r="AS1516" t="s">
        <v>2948</v>
      </c>
      <c r="AT1516" s="1">
        <v>44434</v>
      </c>
      <c r="AU1516" t="s">
        <v>73</v>
      </c>
    </row>
    <row r="1517" spans="1:47" x14ac:dyDescent="0.3">
      <c r="A1517" t="s">
        <v>2936</v>
      </c>
      <c r="B1517" t="s">
        <v>80</v>
      </c>
      <c r="C1517" t="s">
        <v>2937</v>
      </c>
      <c r="D1517">
        <v>101151</v>
      </c>
      <c r="E1517" t="s">
        <v>2938</v>
      </c>
      <c r="F1517" t="s">
        <v>2939</v>
      </c>
      <c r="G1517" t="s">
        <v>2940</v>
      </c>
      <c r="H1517" t="s">
        <v>2941</v>
      </c>
      <c r="I1517" t="s">
        <v>54</v>
      </c>
      <c r="J1517" t="s">
        <v>2942</v>
      </c>
      <c r="K1517" t="s">
        <v>56</v>
      </c>
      <c r="L1517">
        <v>0</v>
      </c>
      <c r="M1517" t="s">
        <v>73</v>
      </c>
      <c r="N1517">
        <v>0</v>
      </c>
      <c r="O1517" t="s">
        <v>58</v>
      </c>
      <c r="P1517" t="s">
        <v>59</v>
      </c>
      <c r="Q1517" t="s">
        <v>959</v>
      </c>
      <c r="R1517" t="s">
        <v>2942</v>
      </c>
      <c r="S1517" s="1">
        <v>44424</v>
      </c>
      <c r="T1517" s="1">
        <v>44426</v>
      </c>
      <c r="U1517">
        <v>37501</v>
      </c>
      <c r="V1517" t="s">
        <v>534</v>
      </c>
      <c r="W1517" t="s">
        <v>2943</v>
      </c>
      <c r="X1517" s="1">
        <v>44427</v>
      </c>
      <c r="Y1517" t="s">
        <v>100</v>
      </c>
      <c r="Z1517">
        <v>138.81</v>
      </c>
      <c r="AA1517">
        <v>16</v>
      </c>
      <c r="AB1517">
        <v>11.1</v>
      </c>
      <c r="AC1517">
        <v>0</v>
      </c>
      <c r="AD1517">
        <v>149.91</v>
      </c>
      <c r="AE1517">
        <v>5709.9</v>
      </c>
      <c r="AF1517">
        <v>2727</v>
      </c>
      <c r="AG1517" t="s">
        <v>2951</v>
      </c>
      <c r="AH1517" t="s">
        <v>66</v>
      </c>
      <c r="AI1517" t="s">
        <v>65</v>
      </c>
      <c r="AJ1517" t="s">
        <v>66</v>
      </c>
      <c r="AK1517" t="s">
        <v>66</v>
      </c>
      <c r="AL1517" t="s">
        <v>66</v>
      </c>
      <c r="AM1517" s="2" t="str">
        <f>HYPERLINK("https://transparencia.cidesi.mx/comprobantes/2021/CQ2100669 /C147da87e96-bfb4-595e-b3d5-c534bc409b07 3.pdf")</f>
        <v>https://transparencia.cidesi.mx/comprobantes/2021/CQ2100669 /C147da87e96-bfb4-595e-b3d5-c534bc409b07 3.pdf</v>
      </c>
      <c r="AN1517" t="str">
        <f>HYPERLINK("https://transparencia.cidesi.mx/comprobantes/2021/CQ2100669 /C147da87e96-bfb4-595e-b3d5-c534bc409b07 3.pdf")</f>
        <v>https://transparencia.cidesi.mx/comprobantes/2021/CQ2100669 /C147da87e96-bfb4-595e-b3d5-c534bc409b07 3.pdf</v>
      </c>
      <c r="AO1517" t="str">
        <f>HYPERLINK("https://transparencia.cidesi.mx/comprobantes/2021/CQ2100669 /C147da87e96-bfb4-595e-b3d5-c534bc409b07 3.xml")</f>
        <v>https://transparencia.cidesi.mx/comprobantes/2021/CQ2100669 /C147da87e96-bfb4-595e-b3d5-c534bc409b07 3.xml</v>
      </c>
      <c r="AP1517" t="s">
        <v>2945</v>
      </c>
      <c r="AQ1517" t="s">
        <v>2946</v>
      </c>
      <c r="AR1517" t="s">
        <v>2947</v>
      </c>
      <c r="AS1517" t="s">
        <v>2948</v>
      </c>
      <c r="AT1517" s="1">
        <v>44434</v>
      </c>
      <c r="AU1517" t="s">
        <v>73</v>
      </c>
    </row>
    <row r="1518" spans="1:47" x14ac:dyDescent="0.3">
      <c r="A1518" t="s">
        <v>2936</v>
      </c>
      <c r="B1518" t="s">
        <v>80</v>
      </c>
      <c r="C1518" t="s">
        <v>2937</v>
      </c>
      <c r="D1518">
        <v>101151</v>
      </c>
      <c r="E1518" t="s">
        <v>2938</v>
      </c>
      <c r="F1518" t="s">
        <v>2939</v>
      </c>
      <c r="G1518" t="s">
        <v>2940</v>
      </c>
      <c r="H1518" t="s">
        <v>2941</v>
      </c>
      <c r="I1518" t="s">
        <v>54</v>
      </c>
      <c r="J1518" t="s">
        <v>2942</v>
      </c>
      <c r="K1518" t="s">
        <v>56</v>
      </c>
      <c r="L1518">
        <v>0</v>
      </c>
      <c r="M1518" t="s">
        <v>73</v>
      </c>
      <c r="N1518">
        <v>0</v>
      </c>
      <c r="O1518" t="s">
        <v>58</v>
      </c>
      <c r="P1518" t="s">
        <v>59</v>
      </c>
      <c r="Q1518" t="s">
        <v>959</v>
      </c>
      <c r="R1518" t="s">
        <v>2942</v>
      </c>
      <c r="S1518" s="1">
        <v>44424</v>
      </c>
      <c r="T1518" s="1">
        <v>44426</v>
      </c>
      <c r="U1518">
        <v>37501</v>
      </c>
      <c r="V1518" t="s">
        <v>2322</v>
      </c>
      <c r="W1518" t="s">
        <v>2943</v>
      </c>
      <c r="X1518" s="1">
        <v>44427</v>
      </c>
      <c r="Y1518" t="s">
        <v>100</v>
      </c>
      <c r="Z1518">
        <v>60.34</v>
      </c>
      <c r="AA1518">
        <v>16</v>
      </c>
      <c r="AB1518">
        <v>9.65</v>
      </c>
      <c r="AC1518">
        <v>0</v>
      </c>
      <c r="AD1518">
        <v>69.989999999999995</v>
      </c>
      <c r="AE1518">
        <v>5709.9</v>
      </c>
      <c r="AF1518">
        <v>2727</v>
      </c>
      <c r="AG1518" t="s">
        <v>2952</v>
      </c>
      <c r="AH1518" t="s">
        <v>66</v>
      </c>
      <c r="AI1518" t="s">
        <v>65</v>
      </c>
      <c r="AJ1518" t="s">
        <v>66</v>
      </c>
      <c r="AK1518" t="s">
        <v>66</v>
      </c>
      <c r="AL1518" t="s">
        <v>66</v>
      </c>
      <c r="AM1518" s="2" t="str">
        <f>HYPERLINK("https://transparencia.cidesi.mx/comprobantes/2021/CQ2100669 /C159a2e8c63-fefc-50c7-94f0-4d9dd9f14988 4.pdf")</f>
        <v>https://transparencia.cidesi.mx/comprobantes/2021/CQ2100669 /C159a2e8c63-fefc-50c7-94f0-4d9dd9f14988 4.pdf</v>
      </c>
      <c r="AN1518" t="str">
        <f>HYPERLINK("https://transparencia.cidesi.mx/comprobantes/2021/CQ2100669 /C159a2e8c63-fefc-50c7-94f0-4d9dd9f14988 4.pdf")</f>
        <v>https://transparencia.cidesi.mx/comprobantes/2021/CQ2100669 /C159a2e8c63-fefc-50c7-94f0-4d9dd9f14988 4.pdf</v>
      </c>
      <c r="AO1518" t="str">
        <f>HYPERLINK("https://transparencia.cidesi.mx/comprobantes/2021/CQ2100669 /C159a2e8c63-fefc-50c7-94f0-4d9dd9f14988 4.xml")</f>
        <v>https://transparencia.cidesi.mx/comprobantes/2021/CQ2100669 /C159a2e8c63-fefc-50c7-94f0-4d9dd9f14988 4.xml</v>
      </c>
      <c r="AP1518" t="s">
        <v>2945</v>
      </c>
      <c r="AQ1518" t="s">
        <v>2946</v>
      </c>
      <c r="AR1518" t="s">
        <v>2947</v>
      </c>
      <c r="AS1518" t="s">
        <v>2948</v>
      </c>
      <c r="AT1518" s="1">
        <v>44434</v>
      </c>
      <c r="AU1518" t="s">
        <v>73</v>
      </c>
    </row>
    <row r="1519" spans="1:47" x14ac:dyDescent="0.3">
      <c r="A1519" t="s">
        <v>2936</v>
      </c>
      <c r="B1519" t="s">
        <v>80</v>
      </c>
      <c r="C1519" t="s">
        <v>2937</v>
      </c>
      <c r="D1519">
        <v>101151</v>
      </c>
      <c r="E1519" t="s">
        <v>2938</v>
      </c>
      <c r="F1519" t="s">
        <v>2939</v>
      </c>
      <c r="G1519" t="s">
        <v>2940</v>
      </c>
      <c r="H1519" t="s">
        <v>2941</v>
      </c>
      <c r="I1519" t="s">
        <v>54</v>
      </c>
      <c r="J1519" t="s">
        <v>2942</v>
      </c>
      <c r="K1519" t="s">
        <v>56</v>
      </c>
      <c r="L1519">
        <v>0</v>
      </c>
      <c r="M1519" t="s">
        <v>73</v>
      </c>
      <c r="N1519">
        <v>0</v>
      </c>
      <c r="O1519" t="s">
        <v>58</v>
      </c>
      <c r="P1519" t="s">
        <v>59</v>
      </c>
      <c r="Q1519" t="s">
        <v>959</v>
      </c>
      <c r="R1519" t="s">
        <v>2942</v>
      </c>
      <c r="S1519" s="1">
        <v>44424</v>
      </c>
      <c r="T1519" s="1">
        <v>44426</v>
      </c>
      <c r="U1519">
        <v>37501</v>
      </c>
      <c r="V1519" t="s">
        <v>534</v>
      </c>
      <c r="W1519" t="s">
        <v>2943</v>
      </c>
      <c r="X1519" s="1">
        <v>44427</v>
      </c>
      <c r="Y1519" t="s">
        <v>100</v>
      </c>
      <c r="Z1519">
        <v>46.29</v>
      </c>
      <c r="AA1519">
        <v>16</v>
      </c>
      <c r="AB1519">
        <v>3.7</v>
      </c>
      <c r="AC1519">
        <v>0</v>
      </c>
      <c r="AD1519">
        <v>49.99</v>
      </c>
      <c r="AE1519">
        <v>5709.9</v>
      </c>
      <c r="AF1519">
        <v>2727</v>
      </c>
      <c r="AG1519" t="s">
        <v>2951</v>
      </c>
      <c r="AH1519" t="s">
        <v>66</v>
      </c>
      <c r="AI1519" t="s">
        <v>65</v>
      </c>
      <c r="AJ1519" t="s">
        <v>66</v>
      </c>
      <c r="AK1519" t="s">
        <v>66</v>
      </c>
      <c r="AL1519" t="s">
        <v>66</v>
      </c>
      <c r="AM1519" s="2" t="str">
        <f>HYPERLINK("https://transparencia.cidesi.mx/comprobantes/2021/CQ2100669 /C169829ed88-6e3e-54d4-8ba9-a9accc826620 5.pdf")</f>
        <v>https://transparencia.cidesi.mx/comprobantes/2021/CQ2100669 /C169829ed88-6e3e-54d4-8ba9-a9accc826620 5.pdf</v>
      </c>
      <c r="AN1519" t="str">
        <f>HYPERLINK("https://transparencia.cidesi.mx/comprobantes/2021/CQ2100669 /C169829ed88-6e3e-54d4-8ba9-a9accc826620 5.pdf")</f>
        <v>https://transparencia.cidesi.mx/comprobantes/2021/CQ2100669 /C169829ed88-6e3e-54d4-8ba9-a9accc826620 5.pdf</v>
      </c>
      <c r="AO1519" t="str">
        <f>HYPERLINK("https://transparencia.cidesi.mx/comprobantes/2021/CQ2100669 /C169829ed88-6e3e-54d4-8ba9-a9accc826620 5.xml")</f>
        <v>https://transparencia.cidesi.mx/comprobantes/2021/CQ2100669 /C169829ed88-6e3e-54d4-8ba9-a9accc826620 5.xml</v>
      </c>
      <c r="AP1519" t="s">
        <v>2945</v>
      </c>
      <c r="AQ1519" t="s">
        <v>2946</v>
      </c>
      <c r="AR1519" t="s">
        <v>2947</v>
      </c>
      <c r="AS1519" t="s">
        <v>2948</v>
      </c>
      <c r="AT1519" s="1">
        <v>44434</v>
      </c>
      <c r="AU1519" t="s">
        <v>73</v>
      </c>
    </row>
    <row r="1520" spans="1:47" x14ac:dyDescent="0.3">
      <c r="A1520" t="s">
        <v>2936</v>
      </c>
      <c r="B1520" t="s">
        <v>80</v>
      </c>
      <c r="C1520" t="s">
        <v>2937</v>
      </c>
      <c r="D1520">
        <v>101151</v>
      </c>
      <c r="E1520" t="s">
        <v>2938</v>
      </c>
      <c r="F1520" t="s">
        <v>2939</v>
      </c>
      <c r="G1520" t="s">
        <v>2940</v>
      </c>
      <c r="H1520" t="s">
        <v>2941</v>
      </c>
      <c r="I1520" t="s">
        <v>54</v>
      </c>
      <c r="J1520" t="s">
        <v>2942</v>
      </c>
      <c r="K1520" t="s">
        <v>56</v>
      </c>
      <c r="L1520">
        <v>0</v>
      </c>
      <c r="M1520" t="s">
        <v>73</v>
      </c>
      <c r="N1520">
        <v>0</v>
      </c>
      <c r="O1520" t="s">
        <v>58</v>
      </c>
      <c r="P1520" t="s">
        <v>59</v>
      </c>
      <c r="Q1520" t="s">
        <v>959</v>
      </c>
      <c r="R1520" t="s">
        <v>2942</v>
      </c>
      <c r="S1520" s="1">
        <v>44424</v>
      </c>
      <c r="T1520" s="1">
        <v>44426</v>
      </c>
      <c r="U1520">
        <v>37501</v>
      </c>
      <c r="V1520" t="s">
        <v>534</v>
      </c>
      <c r="W1520" t="s">
        <v>2943</v>
      </c>
      <c r="X1520" s="1">
        <v>44427</v>
      </c>
      <c r="Y1520" t="s">
        <v>100</v>
      </c>
      <c r="Z1520">
        <v>94.79</v>
      </c>
      <c r="AA1520">
        <v>16</v>
      </c>
      <c r="AB1520">
        <v>15.17</v>
      </c>
      <c r="AC1520">
        <v>0</v>
      </c>
      <c r="AD1520">
        <v>109.96</v>
      </c>
      <c r="AE1520">
        <v>5709.9</v>
      </c>
      <c r="AF1520">
        <v>2727</v>
      </c>
      <c r="AG1520" t="s">
        <v>2951</v>
      </c>
      <c r="AH1520" t="s">
        <v>66</v>
      </c>
      <c r="AI1520" t="s">
        <v>65</v>
      </c>
      <c r="AJ1520" t="s">
        <v>66</v>
      </c>
      <c r="AK1520" t="s">
        <v>66</v>
      </c>
      <c r="AL1520" t="s">
        <v>66</v>
      </c>
      <c r="AM1520" s="2" t="str">
        <f>HYPERLINK("https://transparencia.cidesi.mx/comprobantes/2021/CQ2100669 /C17ea0c581a-dd17-5397-8bd7-dbfc776697ae 6.pdf")</f>
        <v>https://transparencia.cidesi.mx/comprobantes/2021/CQ2100669 /C17ea0c581a-dd17-5397-8bd7-dbfc776697ae 6.pdf</v>
      </c>
      <c r="AN1520" t="str">
        <f>HYPERLINK("https://transparencia.cidesi.mx/comprobantes/2021/CQ2100669 /C17ea0c581a-dd17-5397-8bd7-dbfc776697ae 6.pdf")</f>
        <v>https://transparencia.cidesi.mx/comprobantes/2021/CQ2100669 /C17ea0c581a-dd17-5397-8bd7-dbfc776697ae 6.pdf</v>
      </c>
      <c r="AO1520" t="str">
        <f>HYPERLINK("https://transparencia.cidesi.mx/comprobantes/2021/CQ2100669 /C17ea0c581a-dd17-5397-8bd7-dbfc776697ae 6.xml")</f>
        <v>https://transparencia.cidesi.mx/comprobantes/2021/CQ2100669 /C17ea0c581a-dd17-5397-8bd7-dbfc776697ae 6.xml</v>
      </c>
      <c r="AP1520" t="s">
        <v>2945</v>
      </c>
      <c r="AQ1520" t="s">
        <v>2946</v>
      </c>
      <c r="AR1520" t="s">
        <v>2947</v>
      </c>
      <c r="AS1520" t="s">
        <v>2948</v>
      </c>
      <c r="AT1520" s="1">
        <v>44434</v>
      </c>
      <c r="AU1520" t="s">
        <v>73</v>
      </c>
    </row>
    <row r="1521" spans="1:47" x14ac:dyDescent="0.3">
      <c r="A1521" t="s">
        <v>2936</v>
      </c>
      <c r="B1521" t="s">
        <v>80</v>
      </c>
      <c r="C1521" t="s">
        <v>2937</v>
      </c>
      <c r="D1521">
        <v>101151</v>
      </c>
      <c r="E1521" t="s">
        <v>2938</v>
      </c>
      <c r="F1521" t="s">
        <v>2939</v>
      </c>
      <c r="G1521" t="s">
        <v>2940</v>
      </c>
      <c r="H1521" t="s">
        <v>2941</v>
      </c>
      <c r="I1521" t="s">
        <v>54</v>
      </c>
      <c r="J1521" t="s">
        <v>2942</v>
      </c>
      <c r="K1521" t="s">
        <v>56</v>
      </c>
      <c r="L1521">
        <v>0</v>
      </c>
      <c r="M1521" t="s">
        <v>73</v>
      </c>
      <c r="N1521">
        <v>0</v>
      </c>
      <c r="O1521" t="s">
        <v>58</v>
      </c>
      <c r="P1521" t="s">
        <v>59</v>
      </c>
      <c r="Q1521" t="s">
        <v>959</v>
      </c>
      <c r="R1521" t="s">
        <v>2942</v>
      </c>
      <c r="S1521" s="1">
        <v>44424</v>
      </c>
      <c r="T1521" s="1">
        <v>44426</v>
      </c>
      <c r="U1521">
        <v>37501</v>
      </c>
      <c r="V1521" t="s">
        <v>534</v>
      </c>
      <c r="W1521" t="s">
        <v>2943</v>
      </c>
      <c r="X1521" s="1">
        <v>44427</v>
      </c>
      <c r="Y1521" t="s">
        <v>100</v>
      </c>
      <c r="Z1521">
        <v>190.66</v>
      </c>
      <c r="AA1521">
        <v>16</v>
      </c>
      <c r="AB1521">
        <v>30.5</v>
      </c>
      <c r="AC1521">
        <v>0</v>
      </c>
      <c r="AD1521">
        <v>221.16</v>
      </c>
      <c r="AE1521">
        <v>5709.9</v>
      </c>
      <c r="AF1521">
        <v>2727</v>
      </c>
      <c r="AG1521" t="s">
        <v>2951</v>
      </c>
      <c r="AH1521" t="s">
        <v>66</v>
      </c>
      <c r="AI1521" t="s">
        <v>65</v>
      </c>
      <c r="AJ1521" t="s">
        <v>66</v>
      </c>
      <c r="AK1521" t="s">
        <v>66</v>
      </c>
      <c r="AL1521" t="s">
        <v>66</v>
      </c>
      <c r="AM1521" s="2" t="str">
        <f>HYPERLINK("https://transparencia.cidesi.mx/comprobantes/2021/CQ2100669 /C18edd84f53-de65-560e-8d26-46edd0fe3ca7.pdf")</f>
        <v>https://transparencia.cidesi.mx/comprobantes/2021/CQ2100669 /C18edd84f53-de65-560e-8d26-46edd0fe3ca7.pdf</v>
      </c>
      <c r="AN1521" t="str">
        <f>HYPERLINK("https://transparencia.cidesi.mx/comprobantes/2021/CQ2100669 /C18edd84f53-de65-560e-8d26-46edd0fe3ca7.pdf")</f>
        <v>https://transparencia.cidesi.mx/comprobantes/2021/CQ2100669 /C18edd84f53-de65-560e-8d26-46edd0fe3ca7.pdf</v>
      </c>
      <c r="AO1521" t="str">
        <f>HYPERLINK("https://transparencia.cidesi.mx/comprobantes/2021/CQ2100669 /C18edd84f53-de65-560e-8d26-46edd0fe3ca7.xml")</f>
        <v>https://transparencia.cidesi.mx/comprobantes/2021/CQ2100669 /C18edd84f53-de65-560e-8d26-46edd0fe3ca7.xml</v>
      </c>
      <c r="AP1521" t="s">
        <v>2945</v>
      </c>
      <c r="AQ1521" t="s">
        <v>2946</v>
      </c>
      <c r="AR1521" t="s">
        <v>2947</v>
      </c>
      <c r="AS1521" t="s">
        <v>2948</v>
      </c>
      <c r="AT1521" s="1">
        <v>44434</v>
      </c>
      <c r="AU1521" t="s">
        <v>73</v>
      </c>
    </row>
    <row r="1522" spans="1:47" x14ac:dyDescent="0.3">
      <c r="A1522" t="s">
        <v>2936</v>
      </c>
      <c r="B1522" t="s">
        <v>80</v>
      </c>
      <c r="C1522" t="s">
        <v>2937</v>
      </c>
      <c r="D1522">
        <v>101151</v>
      </c>
      <c r="E1522" t="s">
        <v>2938</v>
      </c>
      <c r="F1522" t="s">
        <v>2939</v>
      </c>
      <c r="G1522" t="s">
        <v>2940</v>
      </c>
      <c r="H1522" t="s">
        <v>2953</v>
      </c>
      <c r="I1522" t="s">
        <v>54</v>
      </c>
      <c r="J1522" t="s">
        <v>2954</v>
      </c>
      <c r="K1522" t="s">
        <v>56</v>
      </c>
      <c r="L1522">
        <v>0</v>
      </c>
      <c r="M1522" t="s">
        <v>73</v>
      </c>
      <c r="N1522">
        <v>0</v>
      </c>
      <c r="O1522" t="s">
        <v>58</v>
      </c>
      <c r="P1522" t="s">
        <v>59</v>
      </c>
      <c r="Q1522" t="s">
        <v>189</v>
      </c>
      <c r="R1522" t="s">
        <v>2954</v>
      </c>
      <c r="S1522" s="1">
        <v>44424</v>
      </c>
      <c r="T1522" s="1">
        <v>44424</v>
      </c>
      <c r="U1522">
        <v>37104</v>
      </c>
      <c r="V1522" t="s">
        <v>471</v>
      </c>
      <c r="W1522" t="s">
        <v>2955</v>
      </c>
      <c r="X1522" s="1">
        <v>44419</v>
      </c>
      <c r="Y1522" t="s">
        <v>100</v>
      </c>
      <c r="Z1522">
        <v>6634</v>
      </c>
      <c r="AA1522">
        <v>16</v>
      </c>
      <c r="AB1522">
        <v>223</v>
      </c>
      <c r="AC1522">
        <v>0</v>
      </c>
      <c r="AD1522">
        <v>6857</v>
      </c>
      <c r="AE1522">
        <v>8057</v>
      </c>
      <c r="AF1522">
        <v>0</v>
      </c>
      <c r="AG1522" t="s">
        <v>2956</v>
      </c>
      <c r="AH1522" t="s">
        <v>66</v>
      </c>
      <c r="AI1522" t="s">
        <v>65</v>
      </c>
      <c r="AJ1522" t="s">
        <v>66</v>
      </c>
      <c r="AK1522" t="s">
        <v>66</v>
      </c>
      <c r="AL1522" t="s">
        <v>66</v>
      </c>
      <c r="AM1522" s="2" t="str">
        <f>HYPERLINK("https://transparencia.cidesi.mx/comprobantes/2021/CAQ210023 /C1F-1392123553212.pdf")</f>
        <v>https://transparencia.cidesi.mx/comprobantes/2021/CAQ210023 /C1F-1392123553212.pdf</v>
      </c>
      <c r="AN1522" t="str">
        <f>HYPERLINK("https://transparencia.cidesi.mx/comprobantes/2021/CAQ210023 /C1F-1392123553212.pdf")</f>
        <v>https://transparencia.cidesi.mx/comprobantes/2021/CAQ210023 /C1F-1392123553212.pdf</v>
      </c>
      <c r="AO1522" t="str">
        <f>HYPERLINK("https://transparencia.cidesi.mx/comprobantes/2021/CAQ210023 /C1F-1392123553212.xml")</f>
        <v>https://transparencia.cidesi.mx/comprobantes/2021/CAQ210023 /C1F-1392123553212.xml</v>
      </c>
      <c r="AP1522" t="s">
        <v>2957</v>
      </c>
      <c r="AQ1522" t="s">
        <v>2958</v>
      </c>
      <c r="AR1522" t="s">
        <v>2959</v>
      </c>
      <c r="AS1522" t="s">
        <v>2960</v>
      </c>
      <c r="AT1522" s="1">
        <v>44424</v>
      </c>
      <c r="AU1522" t="s">
        <v>73</v>
      </c>
    </row>
    <row r="1523" spans="1:47" x14ac:dyDescent="0.3">
      <c r="A1523" t="s">
        <v>2936</v>
      </c>
      <c r="B1523" t="s">
        <v>80</v>
      </c>
      <c r="C1523" t="s">
        <v>2937</v>
      </c>
      <c r="D1523">
        <v>101151</v>
      </c>
      <c r="E1523" t="s">
        <v>2938</v>
      </c>
      <c r="F1523" t="s">
        <v>2939</v>
      </c>
      <c r="G1523" t="s">
        <v>2940</v>
      </c>
      <c r="H1523" t="s">
        <v>2953</v>
      </c>
      <c r="I1523" t="s">
        <v>54</v>
      </c>
      <c r="J1523" t="s">
        <v>2954</v>
      </c>
      <c r="K1523" t="s">
        <v>56</v>
      </c>
      <c r="L1523">
        <v>0</v>
      </c>
      <c r="M1523" t="s">
        <v>73</v>
      </c>
      <c r="N1523">
        <v>0</v>
      </c>
      <c r="O1523" t="s">
        <v>58</v>
      </c>
      <c r="P1523" t="s">
        <v>59</v>
      </c>
      <c r="Q1523" t="s">
        <v>189</v>
      </c>
      <c r="R1523" t="s">
        <v>2954</v>
      </c>
      <c r="S1523" s="1">
        <v>44424</v>
      </c>
      <c r="T1523" s="1">
        <v>44424</v>
      </c>
      <c r="U1523">
        <v>37104</v>
      </c>
      <c r="V1523" t="s">
        <v>471</v>
      </c>
      <c r="W1523" t="s">
        <v>2955</v>
      </c>
      <c r="X1523" s="1">
        <v>44419</v>
      </c>
      <c r="Y1523" t="s">
        <v>100</v>
      </c>
      <c r="Z1523">
        <v>673</v>
      </c>
      <c r="AA1523">
        <v>16</v>
      </c>
      <c r="AB1523">
        <v>27</v>
      </c>
      <c r="AC1523">
        <v>0</v>
      </c>
      <c r="AD1523">
        <v>700</v>
      </c>
      <c r="AE1523">
        <v>8057</v>
      </c>
      <c r="AF1523">
        <v>0</v>
      </c>
      <c r="AG1523" t="s">
        <v>2956</v>
      </c>
      <c r="AH1523" t="s">
        <v>66</v>
      </c>
      <c r="AI1523" t="s">
        <v>65</v>
      </c>
      <c r="AJ1523" t="s">
        <v>66</v>
      </c>
      <c r="AK1523" t="s">
        <v>66</v>
      </c>
      <c r="AL1523" t="s">
        <v>66</v>
      </c>
      <c r="AM1523" s="2" t="str">
        <f>HYPERLINK("https://transparencia.cidesi.mx/comprobantes/2021/CAQ210023 /C2F-1391517874024.pdf")</f>
        <v>https://transparencia.cidesi.mx/comprobantes/2021/CAQ210023 /C2F-1391517874024.pdf</v>
      </c>
      <c r="AN1523" t="str">
        <f>HYPERLINK("https://transparencia.cidesi.mx/comprobantes/2021/CAQ210023 /C2F-1391517874024.pdf")</f>
        <v>https://transparencia.cidesi.mx/comprobantes/2021/CAQ210023 /C2F-1391517874024.pdf</v>
      </c>
      <c r="AO1523" t="str">
        <f>HYPERLINK("https://transparencia.cidesi.mx/comprobantes/2021/CAQ210023 /C2F-1391517874024.xml")</f>
        <v>https://transparencia.cidesi.mx/comprobantes/2021/CAQ210023 /C2F-1391517874024.xml</v>
      </c>
      <c r="AP1523" t="s">
        <v>2957</v>
      </c>
      <c r="AQ1523" t="s">
        <v>2958</v>
      </c>
      <c r="AR1523" t="s">
        <v>2959</v>
      </c>
      <c r="AS1523" t="s">
        <v>2960</v>
      </c>
      <c r="AT1523" s="1">
        <v>44424</v>
      </c>
      <c r="AU1523" t="s">
        <v>73</v>
      </c>
    </row>
    <row r="1524" spans="1:47" x14ac:dyDescent="0.3">
      <c r="A1524" t="s">
        <v>2936</v>
      </c>
      <c r="B1524" t="s">
        <v>80</v>
      </c>
      <c r="C1524" t="s">
        <v>2937</v>
      </c>
      <c r="D1524">
        <v>101151</v>
      </c>
      <c r="E1524" t="s">
        <v>2938</v>
      </c>
      <c r="F1524" t="s">
        <v>2939</v>
      </c>
      <c r="G1524" t="s">
        <v>2940</v>
      </c>
      <c r="H1524" t="s">
        <v>2953</v>
      </c>
      <c r="I1524" t="s">
        <v>54</v>
      </c>
      <c r="J1524" t="s">
        <v>2954</v>
      </c>
      <c r="K1524" t="s">
        <v>56</v>
      </c>
      <c r="L1524">
        <v>0</v>
      </c>
      <c r="M1524" t="s">
        <v>73</v>
      </c>
      <c r="N1524">
        <v>0</v>
      </c>
      <c r="O1524" t="s">
        <v>58</v>
      </c>
      <c r="P1524" t="s">
        <v>59</v>
      </c>
      <c r="Q1524" t="s">
        <v>189</v>
      </c>
      <c r="R1524" t="s">
        <v>2954</v>
      </c>
      <c r="S1524" s="1">
        <v>44424</v>
      </c>
      <c r="T1524" s="1">
        <v>44424</v>
      </c>
      <c r="U1524">
        <v>37104</v>
      </c>
      <c r="V1524" t="s">
        <v>471</v>
      </c>
      <c r="W1524" t="s">
        <v>2955</v>
      </c>
      <c r="X1524" s="1">
        <v>44419</v>
      </c>
      <c r="Y1524" t="s">
        <v>100</v>
      </c>
      <c r="Z1524">
        <v>431.03</v>
      </c>
      <c r="AA1524">
        <v>16</v>
      </c>
      <c r="AB1524">
        <v>68.97</v>
      </c>
      <c r="AC1524">
        <v>0</v>
      </c>
      <c r="AD1524">
        <v>500</v>
      </c>
      <c r="AE1524">
        <v>8057</v>
      </c>
      <c r="AF1524">
        <v>0</v>
      </c>
      <c r="AG1524" t="s">
        <v>2956</v>
      </c>
      <c r="AH1524" t="s">
        <v>66</v>
      </c>
      <c r="AI1524" t="s">
        <v>65</v>
      </c>
      <c r="AJ1524" t="s">
        <v>66</v>
      </c>
      <c r="AK1524" t="s">
        <v>66</v>
      </c>
      <c r="AL1524" t="s">
        <v>66</v>
      </c>
      <c r="AM1524" s="2" t="str">
        <f>HYPERLINK("https://transparencia.cidesi.mx/comprobantes/2021/CAQ210023 /C3F-1391517874025.pdf")</f>
        <v>https://transparencia.cidesi.mx/comprobantes/2021/CAQ210023 /C3F-1391517874025.pdf</v>
      </c>
      <c r="AN1524" t="str">
        <f>HYPERLINK("https://transparencia.cidesi.mx/comprobantes/2021/CAQ210023 /C3F-1391517874025.pdf")</f>
        <v>https://transparencia.cidesi.mx/comprobantes/2021/CAQ210023 /C3F-1391517874025.pdf</v>
      </c>
      <c r="AO1524" t="str">
        <f>HYPERLINK("https://transparencia.cidesi.mx/comprobantes/2021/CAQ210023 /C3F-1391517874025.xml")</f>
        <v>https://transparencia.cidesi.mx/comprobantes/2021/CAQ210023 /C3F-1391517874025.xml</v>
      </c>
      <c r="AP1524" t="s">
        <v>2957</v>
      </c>
      <c r="AQ1524" t="s">
        <v>2958</v>
      </c>
      <c r="AR1524" t="s">
        <v>2959</v>
      </c>
      <c r="AS1524" t="s">
        <v>2960</v>
      </c>
      <c r="AT1524" s="1">
        <v>44424</v>
      </c>
      <c r="AU1524" t="s">
        <v>73</v>
      </c>
    </row>
    <row r="1525" spans="1:47" x14ac:dyDescent="0.3">
      <c r="A1525" t="s">
        <v>181</v>
      </c>
      <c r="B1525" t="s">
        <v>182</v>
      </c>
      <c r="C1525" t="s">
        <v>183</v>
      </c>
      <c r="D1525">
        <v>101232</v>
      </c>
      <c r="E1525" t="s">
        <v>184</v>
      </c>
      <c r="F1525" t="s">
        <v>2961</v>
      </c>
      <c r="G1525" t="s">
        <v>405</v>
      </c>
      <c r="H1525" t="s">
        <v>2962</v>
      </c>
      <c r="I1525" t="s">
        <v>54</v>
      </c>
      <c r="J1525" t="s">
        <v>1614</v>
      </c>
      <c r="K1525" t="s">
        <v>56</v>
      </c>
      <c r="L1525">
        <v>0</v>
      </c>
      <c r="M1525" t="s">
        <v>73</v>
      </c>
      <c r="N1525">
        <v>0</v>
      </c>
      <c r="O1525" t="s">
        <v>58</v>
      </c>
      <c r="P1525" t="s">
        <v>59</v>
      </c>
      <c r="Q1525" t="s">
        <v>60</v>
      </c>
      <c r="R1525" t="s">
        <v>1614</v>
      </c>
      <c r="S1525" s="1">
        <v>44403</v>
      </c>
      <c r="T1525" s="1">
        <v>44406</v>
      </c>
      <c r="U1525">
        <v>37501</v>
      </c>
      <c r="V1525" t="s">
        <v>61</v>
      </c>
      <c r="W1525" t="s">
        <v>2963</v>
      </c>
      <c r="X1525" s="1">
        <v>44410</v>
      </c>
      <c r="Y1525" t="s">
        <v>63</v>
      </c>
      <c r="Z1525">
        <v>0.01</v>
      </c>
      <c r="AA1525">
        <v>0</v>
      </c>
      <c r="AB1525">
        <v>0</v>
      </c>
      <c r="AC1525">
        <v>0</v>
      </c>
      <c r="AD1525">
        <v>0.01</v>
      </c>
      <c r="AE1525">
        <v>0.01</v>
      </c>
      <c r="AF1525">
        <v>3818</v>
      </c>
      <c r="AG1525" t="s">
        <v>2964</v>
      </c>
      <c r="AH1525" t="s">
        <v>66</v>
      </c>
      <c r="AI1525" t="s">
        <v>66</v>
      </c>
      <c r="AJ1525" t="s">
        <v>66</v>
      </c>
      <c r="AK1525" t="s">
        <v>66</v>
      </c>
      <c r="AL1525" t="s">
        <v>66</v>
      </c>
      <c r="AM1525" s="2" t="s">
        <v>73</v>
      </c>
      <c r="AN1525" t="s">
        <v>73</v>
      </c>
      <c r="AO1525" t="s">
        <v>73</v>
      </c>
      <c r="AP1525" t="s">
        <v>2965</v>
      </c>
      <c r="AQ1525" t="s">
        <v>2965</v>
      </c>
      <c r="AR1525" t="s">
        <v>2965</v>
      </c>
      <c r="AS1525" t="s">
        <v>2965</v>
      </c>
      <c r="AT1525" s="1">
        <v>44414</v>
      </c>
      <c r="AU1525" s="1">
        <v>44424</v>
      </c>
    </row>
    <row r="1526" spans="1:47" x14ac:dyDescent="0.3">
      <c r="A1526" t="s">
        <v>2966</v>
      </c>
      <c r="B1526" t="s">
        <v>48</v>
      </c>
      <c r="C1526" t="s">
        <v>2058</v>
      </c>
      <c r="D1526">
        <v>101283</v>
      </c>
      <c r="E1526" t="s">
        <v>2967</v>
      </c>
      <c r="F1526" t="s">
        <v>2968</v>
      </c>
      <c r="G1526" t="s">
        <v>2969</v>
      </c>
      <c r="H1526" t="s">
        <v>2970</v>
      </c>
      <c r="I1526" t="s">
        <v>54</v>
      </c>
      <c r="J1526" t="s">
        <v>2971</v>
      </c>
      <c r="K1526" t="s">
        <v>56</v>
      </c>
      <c r="L1526">
        <v>0</v>
      </c>
      <c r="M1526" t="s">
        <v>73</v>
      </c>
      <c r="N1526">
        <v>0</v>
      </c>
      <c r="O1526" t="s">
        <v>58</v>
      </c>
      <c r="P1526" t="s">
        <v>2064</v>
      </c>
      <c r="Q1526" t="s">
        <v>2065</v>
      </c>
      <c r="R1526" t="s">
        <v>2971</v>
      </c>
      <c r="S1526" s="1">
        <v>44405</v>
      </c>
      <c r="T1526" s="1">
        <v>44405</v>
      </c>
      <c r="U1526">
        <v>37501</v>
      </c>
      <c r="V1526" t="s">
        <v>61</v>
      </c>
      <c r="W1526" t="s">
        <v>2972</v>
      </c>
      <c r="X1526" s="1">
        <v>44406</v>
      </c>
      <c r="Y1526" t="s">
        <v>63</v>
      </c>
      <c r="Z1526">
        <v>262.93</v>
      </c>
      <c r="AA1526">
        <v>16</v>
      </c>
      <c r="AB1526">
        <v>42.07</v>
      </c>
      <c r="AC1526">
        <v>30.5</v>
      </c>
      <c r="AD1526">
        <v>335.5</v>
      </c>
      <c r="AE1526">
        <v>335.5</v>
      </c>
      <c r="AF1526">
        <v>783</v>
      </c>
      <c r="AG1526" t="s">
        <v>2973</v>
      </c>
      <c r="AH1526" t="s">
        <v>65</v>
      </c>
      <c r="AI1526" t="s">
        <v>65</v>
      </c>
      <c r="AJ1526" t="s">
        <v>66</v>
      </c>
      <c r="AK1526" t="s">
        <v>66</v>
      </c>
      <c r="AL1526" t="s">
        <v>66</v>
      </c>
      <c r="AM1526" s="2" t="str">
        <f>HYPERLINK("https://transparencia.cidesi.mx/comprobantes/2021/CE2100010 /C11. GAS910208GP3_CHICTOAAAJ 85080.pdf")</f>
        <v>https://transparencia.cidesi.mx/comprobantes/2021/CE2100010 /C11. GAS910208GP3_CHICTOAAAJ 85080.pdf</v>
      </c>
      <c r="AN1526" t="str">
        <f>HYPERLINK("https://transparencia.cidesi.mx/comprobantes/2021/CE2100010 /C11. GAS910208GP3_CHICTOAAAJ 85080.pdf")</f>
        <v>https://transparencia.cidesi.mx/comprobantes/2021/CE2100010 /C11. GAS910208GP3_CHICTOAAAJ 85080.pdf</v>
      </c>
      <c r="AO1526" t="str">
        <f>HYPERLINK("https://transparencia.cidesi.mx/comprobantes/2021/CE2100010 /C11. GAS910208GP3_CHICTOAAAJ 85080.xml")</f>
        <v>https://transparencia.cidesi.mx/comprobantes/2021/CE2100010 /C11. GAS910208GP3_CHICTOAAAJ 85080.xml</v>
      </c>
      <c r="AP1526" t="s">
        <v>2974</v>
      </c>
      <c r="AQ1526" t="s">
        <v>2975</v>
      </c>
      <c r="AR1526" t="s">
        <v>2976</v>
      </c>
      <c r="AS1526" t="s">
        <v>2977</v>
      </c>
      <c r="AT1526" s="1">
        <v>44411</v>
      </c>
      <c r="AU1526" s="1">
        <v>44425</v>
      </c>
    </row>
    <row r="1527" spans="1:47" x14ac:dyDescent="0.3">
      <c r="A1527" t="s">
        <v>47</v>
      </c>
      <c r="B1527" t="s">
        <v>182</v>
      </c>
      <c r="C1527" t="s">
        <v>1239</v>
      </c>
      <c r="D1527">
        <v>101352</v>
      </c>
      <c r="E1527" t="s">
        <v>2978</v>
      </c>
      <c r="F1527" t="s">
        <v>2979</v>
      </c>
      <c r="G1527" t="s">
        <v>2980</v>
      </c>
      <c r="H1527" t="s">
        <v>2981</v>
      </c>
      <c r="I1527" t="s">
        <v>54</v>
      </c>
      <c r="J1527" t="s">
        <v>2982</v>
      </c>
      <c r="K1527" t="s">
        <v>56</v>
      </c>
      <c r="L1527">
        <v>101703</v>
      </c>
      <c r="M1527" t="s">
        <v>164</v>
      </c>
      <c r="N1527">
        <v>0</v>
      </c>
      <c r="O1527" t="s">
        <v>58</v>
      </c>
      <c r="P1527" t="s">
        <v>59</v>
      </c>
      <c r="Q1527" t="s">
        <v>421</v>
      </c>
      <c r="R1527" t="s">
        <v>2982</v>
      </c>
      <c r="S1527" s="1">
        <v>44460</v>
      </c>
      <c r="T1527" s="1">
        <v>44460</v>
      </c>
      <c r="U1527">
        <v>37501</v>
      </c>
      <c r="V1527" t="s">
        <v>61</v>
      </c>
      <c r="W1527" t="s">
        <v>2983</v>
      </c>
      <c r="X1527" s="1">
        <v>44468</v>
      </c>
      <c r="Y1527" t="s">
        <v>63</v>
      </c>
      <c r="Z1527">
        <v>0.01</v>
      </c>
      <c r="AA1527">
        <v>0</v>
      </c>
      <c r="AB1527">
        <v>0</v>
      </c>
      <c r="AC1527">
        <v>0</v>
      </c>
      <c r="AD1527">
        <v>0.01</v>
      </c>
      <c r="AE1527">
        <v>0.01</v>
      </c>
      <c r="AF1527">
        <v>1034</v>
      </c>
      <c r="AG1527" t="s">
        <v>2984</v>
      </c>
      <c r="AH1527" t="s">
        <v>66</v>
      </c>
      <c r="AI1527" t="s">
        <v>66</v>
      </c>
      <c r="AJ1527" t="s">
        <v>66</v>
      </c>
      <c r="AK1527" t="s">
        <v>66</v>
      </c>
      <c r="AL1527" t="s">
        <v>66</v>
      </c>
      <c r="AM1527" s="2" t="s">
        <v>73</v>
      </c>
      <c r="AN1527" t="s">
        <v>73</v>
      </c>
      <c r="AO1527" t="s">
        <v>73</v>
      </c>
      <c r="AP1527" t="s">
        <v>2982</v>
      </c>
      <c r="AQ1527" t="s">
        <v>2985</v>
      </c>
      <c r="AR1527" t="s">
        <v>2985</v>
      </c>
      <c r="AS1527" t="s">
        <v>2985</v>
      </c>
      <c r="AT1527" s="1">
        <v>44468</v>
      </c>
      <c r="AU1527" s="1">
        <v>44470</v>
      </c>
    </row>
    <row r="1528" spans="1:47" x14ac:dyDescent="0.3">
      <c r="A1528" t="s">
        <v>47</v>
      </c>
      <c r="B1528" t="s">
        <v>48</v>
      </c>
      <c r="C1528" t="s">
        <v>2058</v>
      </c>
      <c r="D1528">
        <v>101369</v>
      </c>
      <c r="E1528" t="s">
        <v>403</v>
      </c>
      <c r="F1528" t="s">
        <v>2986</v>
      </c>
      <c r="G1528" t="s">
        <v>2987</v>
      </c>
      <c r="H1528" t="s">
        <v>2988</v>
      </c>
      <c r="I1528" t="s">
        <v>54</v>
      </c>
      <c r="J1528" t="s">
        <v>2989</v>
      </c>
      <c r="K1528" t="s">
        <v>56</v>
      </c>
      <c r="L1528">
        <v>0</v>
      </c>
      <c r="M1528" t="s">
        <v>73</v>
      </c>
      <c r="N1528">
        <v>0</v>
      </c>
      <c r="O1528" t="s">
        <v>58</v>
      </c>
      <c r="P1528" t="s">
        <v>2064</v>
      </c>
      <c r="Q1528" t="s">
        <v>60</v>
      </c>
      <c r="R1528" t="s">
        <v>2989</v>
      </c>
      <c r="S1528" s="1">
        <v>44399</v>
      </c>
      <c r="T1528" s="1">
        <v>44400</v>
      </c>
      <c r="U1528">
        <v>37501</v>
      </c>
      <c r="V1528" t="s">
        <v>61</v>
      </c>
      <c r="W1528" t="s">
        <v>2990</v>
      </c>
      <c r="X1528" s="1">
        <v>44407</v>
      </c>
      <c r="Y1528" t="s">
        <v>63</v>
      </c>
      <c r="Z1528">
        <v>573.28</v>
      </c>
      <c r="AA1528">
        <v>16</v>
      </c>
      <c r="AB1528">
        <v>91.72</v>
      </c>
      <c r="AC1528">
        <v>0</v>
      </c>
      <c r="AD1528">
        <v>665</v>
      </c>
      <c r="AE1528">
        <v>665</v>
      </c>
      <c r="AF1528">
        <v>1636</v>
      </c>
      <c r="AG1528" t="s">
        <v>2991</v>
      </c>
      <c r="AH1528" t="s">
        <v>66</v>
      </c>
      <c r="AI1528" t="s">
        <v>65</v>
      </c>
      <c r="AJ1528" t="s">
        <v>66</v>
      </c>
      <c r="AK1528" t="s">
        <v>66</v>
      </c>
      <c r="AL1528" t="s">
        <v>66</v>
      </c>
      <c r="AM1528" s="2" t="str">
        <f>HYPERLINK("https://transparencia.cidesi.mx/comprobantes/2021/CE2100013 /C1OSU011012H82-CID840309UG7-A-32804.pdf")</f>
        <v>https://transparencia.cidesi.mx/comprobantes/2021/CE2100013 /C1OSU011012H82-CID840309UG7-A-32804.pdf</v>
      </c>
      <c r="AN1528" t="str">
        <f>HYPERLINK("https://transparencia.cidesi.mx/comprobantes/2021/CE2100013 /C1OSU011012H82-CID840309UG7-A-32804.pdf")</f>
        <v>https://transparencia.cidesi.mx/comprobantes/2021/CE2100013 /C1OSU011012H82-CID840309UG7-A-32804.pdf</v>
      </c>
      <c r="AO1528" t="str">
        <f>HYPERLINK("https://transparencia.cidesi.mx/comprobantes/2021/CE2100013 /C1OSU011012H82-CID840309UG7-A-32804.xml")</f>
        <v>https://transparencia.cidesi.mx/comprobantes/2021/CE2100013 /C1OSU011012H82-CID840309UG7-A-32804.xml</v>
      </c>
      <c r="AP1528" t="s">
        <v>2992</v>
      </c>
      <c r="AQ1528" t="s">
        <v>2993</v>
      </c>
      <c r="AR1528" t="s">
        <v>2994</v>
      </c>
      <c r="AS1528" t="s">
        <v>2995</v>
      </c>
      <c r="AT1528" s="1">
        <v>44433</v>
      </c>
      <c r="AU1528" s="1">
        <v>44434</v>
      </c>
    </row>
    <row r="1529" spans="1:47" x14ac:dyDescent="0.3">
      <c r="A1529" t="s">
        <v>47</v>
      </c>
      <c r="B1529" t="s">
        <v>48</v>
      </c>
      <c r="C1529" t="s">
        <v>2058</v>
      </c>
      <c r="D1529">
        <v>101369</v>
      </c>
      <c r="E1529" t="s">
        <v>403</v>
      </c>
      <c r="F1529" t="s">
        <v>2986</v>
      </c>
      <c r="G1529" t="s">
        <v>2987</v>
      </c>
      <c r="H1529" t="s">
        <v>2996</v>
      </c>
      <c r="I1529" t="s">
        <v>54</v>
      </c>
      <c r="J1529" t="s">
        <v>2243</v>
      </c>
      <c r="K1529" t="s">
        <v>56</v>
      </c>
      <c r="L1529">
        <v>0</v>
      </c>
      <c r="M1529" t="s">
        <v>73</v>
      </c>
      <c r="N1529">
        <v>0</v>
      </c>
      <c r="O1529" t="s">
        <v>58</v>
      </c>
      <c r="P1529" t="s">
        <v>2064</v>
      </c>
      <c r="Q1529" t="s">
        <v>60</v>
      </c>
      <c r="R1529" t="s">
        <v>2243</v>
      </c>
      <c r="S1529" s="1">
        <v>44403</v>
      </c>
      <c r="T1529" s="1">
        <v>44406</v>
      </c>
      <c r="U1529">
        <v>37501</v>
      </c>
      <c r="V1529" t="s">
        <v>61</v>
      </c>
      <c r="W1529" t="s">
        <v>2997</v>
      </c>
      <c r="X1529" s="1">
        <v>44412</v>
      </c>
      <c r="Y1529" t="s">
        <v>63</v>
      </c>
      <c r="Z1529">
        <v>241.38</v>
      </c>
      <c r="AA1529">
        <v>16</v>
      </c>
      <c r="AB1529">
        <v>38.619999999999997</v>
      </c>
      <c r="AC1529">
        <v>0</v>
      </c>
      <c r="AD1529">
        <v>280</v>
      </c>
      <c r="AE1529">
        <v>721.58</v>
      </c>
      <c r="AF1529">
        <v>3818</v>
      </c>
      <c r="AG1529" t="s">
        <v>2991</v>
      </c>
      <c r="AH1529" t="s">
        <v>66</v>
      </c>
      <c r="AI1529" t="s">
        <v>65</v>
      </c>
      <c r="AJ1529" t="s">
        <v>66</v>
      </c>
      <c r="AK1529" t="s">
        <v>66</v>
      </c>
      <c r="AL1529" t="s">
        <v>66</v>
      </c>
      <c r="AM1529" s="2" t="str">
        <f>HYPERLINK("https://transparencia.cidesi.mx/comprobantes/2021/CE2100016 /C1A1766.pdf")</f>
        <v>https://transparencia.cidesi.mx/comprobantes/2021/CE2100016 /C1A1766.pdf</v>
      </c>
      <c r="AN1529" t="str">
        <f>HYPERLINK("https://transparencia.cidesi.mx/comprobantes/2021/CE2100016 /C1A1766.pdf")</f>
        <v>https://transparencia.cidesi.mx/comprobantes/2021/CE2100016 /C1A1766.pdf</v>
      </c>
      <c r="AO1529" t="str">
        <f>HYPERLINK("https://transparencia.cidesi.mx/comprobantes/2021/CE2100016 /C1A1766.xml")</f>
        <v>https://transparencia.cidesi.mx/comprobantes/2021/CE2100016 /C1A1766.xml</v>
      </c>
      <c r="AP1529" t="s">
        <v>2998</v>
      </c>
      <c r="AQ1529" t="s">
        <v>2999</v>
      </c>
      <c r="AR1529" t="s">
        <v>3000</v>
      </c>
      <c r="AS1529" t="s">
        <v>3001</v>
      </c>
      <c r="AT1529" s="1">
        <v>44433</v>
      </c>
      <c r="AU1529" s="1">
        <v>44452</v>
      </c>
    </row>
    <row r="1530" spans="1:47" x14ac:dyDescent="0.3">
      <c r="A1530" t="s">
        <v>47</v>
      </c>
      <c r="B1530" t="s">
        <v>48</v>
      </c>
      <c r="C1530" t="s">
        <v>2058</v>
      </c>
      <c r="D1530">
        <v>101369</v>
      </c>
      <c r="E1530" t="s">
        <v>403</v>
      </c>
      <c r="F1530" t="s">
        <v>2986</v>
      </c>
      <c r="G1530" t="s">
        <v>2987</v>
      </c>
      <c r="H1530" t="s">
        <v>2996</v>
      </c>
      <c r="I1530" t="s">
        <v>54</v>
      </c>
      <c r="J1530" t="s">
        <v>2243</v>
      </c>
      <c r="K1530" t="s">
        <v>56</v>
      </c>
      <c r="L1530">
        <v>0</v>
      </c>
      <c r="M1530" t="s">
        <v>73</v>
      </c>
      <c r="N1530">
        <v>0</v>
      </c>
      <c r="O1530" t="s">
        <v>58</v>
      </c>
      <c r="P1530" t="s">
        <v>2064</v>
      </c>
      <c r="Q1530" t="s">
        <v>60</v>
      </c>
      <c r="R1530" t="s">
        <v>2243</v>
      </c>
      <c r="S1530" s="1">
        <v>44403</v>
      </c>
      <c r="T1530" s="1">
        <v>44406</v>
      </c>
      <c r="U1530">
        <v>37501</v>
      </c>
      <c r="V1530" t="s">
        <v>534</v>
      </c>
      <c r="W1530" t="s">
        <v>2997</v>
      </c>
      <c r="X1530" s="1">
        <v>44412</v>
      </c>
      <c r="Y1530" t="s">
        <v>63</v>
      </c>
      <c r="Z1530">
        <v>32.049999999999997</v>
      </c>
      <c r="AA1530">
        <v>16</v>
      </c>
      <c r="AB1530">
        <v>5.12</v>
      </c>
      <c r="AC1530">
        <v>0</v>
      </c>
      <c r="AD1530">
        <v>37.17</v>
      </c>
      <c r="AE1530">
        <v>721.58</v>
      </c>
      <c r="AF1530">
        <v>3818</v>
      </c>
      <c r="AG1530" t="s">
        <v>3002</v>
      </c>
      <c r="AH1530" t="s">
        <v>66</v>
      </c>
      <c r="AI1530" t="s">
        <v>65</v>
      </c>
      <c r="AJ1530" t="s">
        <v>66</v>
      </c>
      <c r="AK1530" t="s">
        <v>66</v>
      </c>
      <c r="AL1530" t="s">
        <v>66</v>
      </c>
      <c r="AM1530" s="2" t="str">
        <f>HYPERLINK("https://transparencia.cidesi.mx/comprobantes/2021/CE2100016 /C2a4287bbf-82e5-5741-aaf8-a045f1f3d8ea.pdf")</f>
        <v>https://transparencia.cidesi.mx/comprobantes/2021/CE2100016 /C2a4287bbf-82e5-5741-aaf8-a045f1f3d8ea.pdf</v>
      </c>
      <c r="AN1530" t="str">
        <f>HYPERLINK("https://transparencia.cidesi.mx/comprobantes/2021/CE2100016 /C2a4287bbf-82e5-5741-aaf8-a045f1f3d8ea.pdf")</f>
        <v>https://transparencia.cidesi.mx/comprobantes/2021/CE2100016 /C2a4287bbf-82e5-5741-aaf8-a045f1f3d8ea.pdf</v>
      </c>
      <c r="AO1530" t="str">
        <f>HYPERLINK("https://transparencia.cidesi.mx/comprobantes/2021/CE2100016 /C2a4287bbf-82e5-5741-aaf8-a045f1f3d8ea.xml")</f>
        <v>https://transparencia.cidesi.mx/comprobantes/2021/CE2100016 /C2a4287bbf-82e5-5741-aaf8-a045f1f3d8ea.xml</v>
      </c>
      <c r="AP1530" t="s">
        <v>2998</v>
      </c>
      <c r="AQ1530" t="s">
        <v>2999</v>
      </c>
      <c r="AR1530" t="s">
        <v>3000</v>
      </c>
      <c r="AS1530" t="s">
        <v>3001</v>
      </c>
      <c r="AT1530" s="1">
        <v>44433</v>
      </c>
      <c r="AU1530" s="1">
        <v>44452</v>
      </c>
    </row>
    <row r="1531" spans="1:47" x14ac:dyDescent="0.3">
      <c r="A1531" t="s">
        <v>47</v>
      </c>
      <c r="B1531" t="s">
        <v>48</v>
      </c>
      <c r="C1531" t="s">
        <v>2058</v>
      </c>
      <c r="D1531">
        <v>101369</v>
      </c>
      <c r="E1531" t="s">
        <v>403</v>
      </c>
      <c r="F1531" t="s">
        <v>2986</v>
      </c>
      <c r="G1531" t="s">
        <v>2987</v>
      </c>
      <c r="H1531" t="s">
        <v>2996</v>
      </c>
      <c r="I1531" t="s">
        <v>54</v>
      </c>
      <c r="J1531" t="s">
        <v>2243</v>
      </c>
      <c r="K1531" t="s">
        <v>56</v>
      </c>
      <c r="L1531">
        <v>0</v>
      </c>
      <c r="M1531" t="s">
        <v>73</v>
      </c>
      <c r="N1531">
        <v>0</v>
      </c>
      <c r="O1531" t="s">
        <v>58</v>
      </c>
      <c r="P1531" t="s">
        <v>2064</v>
      </c>
      <c r="Q1531" t="s">
        <v>60</v>
      </c>
      <c r="R1531" t="s">
        <v>2243</v>
      </c>
      <c r="S1531" s="1">
        <v>44403</v>
      </c>
      <c r="T1531" s="1">
        <v>44406</v>
      </c>
      <c r="U1531">
        <v>37501</v>
      </c>
      <c r="V1531" t="s">
        <v>534</v>
      </c>
      <c r="W1531" t="s">
        <v>2997</v>
      </c>
      <c r="X1531" s="1">
        <v>44412</v>
      </c>
      <c r="Y1531" t="s">
        <v>63</v>
      </c>
      <c r="Z1531">
        <v>348.63</v>
      </c>
      <c r="AA1531">
        <v>16</v>
      </c>
      <c r="AB1531">
        <v>55.78</v>
      </c>
      <c r="AC1531">
        <v>0</v>
      </c>
      <c r="AD1531">
        <v>404.41</v>
      </c>
      <c r="AE1531">
        <v>721.58</v>
      </c>
      <c r="AF1531">
        <v>3818</v>
      </c>
      <c r="AG1531" t="s">
        <v>3002</v>
      </c>
      <c r="AH1531" t="s">
        <v>66</v>
      </c>
      <c r="AI1531" t="s">
        <v>65</v>
      </c>
      <c r="AJ1531" t="s">
        <v>66</v>
      </c>
      <c r="AK1531" t="s">
        <v>66</v>
      </c>
      <c r="AL1531" t="s">
        <v>66</v>
      </c>
      <c r="AM1531" s="2" t="str">
        <f>HYPERLINK("https://transparencia.cidesi.mx/comprobantes/2021/CE2100016 /C3b042c015-1487-5127-8971-dbaa5aba77df.pdf")</f>
        <v>https://transparencia.cidesi.mx/comprobantes/2021/CE2100016 /C3b042c015-1487-5127-8971-dbaa5aba77df.pdf</v>
      </c>
      <c r="AN1531" t="str">
        <f>HYPERLINK("https://transparencia.cidesi.mx/comprobantes/2021/CE2100016 /C3b042c015-1487-5127-8971-dbaa5aba77df.pdf")</f>
        <v>https://transparencia.cidesi.mx/comprobantes/2021/CE2100016 /C3b042c015-1487-5127-8971-dbaa5aba77df.pdf</v>
      </c>
      <c r="AO1531" t="str">
        <f>HYPERLINK("https://transparencia.cidesi.mx/comprobantes/2021/CE2100016 /C3b042c015-1487-5127-8971-dbaa5aba77df.xml")</f>
        <v>https://transparencia.cidesi.mx/comprobantes/2021/CE2100016 /C3b042c015-1487-5127-8971-dbaa5aba77df.xml</v>
      </c>
      <c r="AP1531" t="s">
        <v>2998</v>
      </c>
      <c r="AQ1531" t="s">
        <v>2999</v>
      </c>
      <c r="AR1531" t="s">
        <v>3000</v>
      </c>
      <c r="AS1531" t="s">
        <v>3001</v>
      </c>
      <c r="AT1531" s="1">
        <v>44433</v>
      </c>
      <c r="AU1531" s="1">
        <v>44452</v>
      </c>
    </row>
    <row r="1532" spans="1:47" x14ac:dyDescent="0.3">
      <c r="A1532" t="s">
        <v>3003</v>
      </c>
      <c r="B1532" t="s">
        <v>198</v>
      </c>
      <c r="C1532" t="s">
        <v>199</v>
      </c>
      <c r="D1532">
        <v>101594</v>
      </c>
      <c r="E1532" t="s">
        <v>3004</v>
      </c>
      <c r="F1532" t="s">
        <v>1719</v>
      </c>
      <c r="G1532" t="s">
        <v>3005</v>
      </c>
      <c r="H1532" t="s">
        <v>3006</v>
      </c>
      <c r="I1532" t="s">
        <v>54</v>
      </c>
      <c r="J1532" t="s">
        <v>3007</v>
      </c>
      <c r="K1532" t="s">
        <v>56</v>
      </c>
      <c r="L1532">
        <v>100210</v>
      </c>
      <c r="M1532" t="s">
        <v>205</v>
      </c>
      <c r="N1532">
        <v>0</v>
      </c>
      <c r="O1532" t="s">
        <v>58</v>
      </c>
      <c r="P1532" t="s">
        <v>59</v>
      </c>
      <c r="Q1532" t="s">
        <v>330</v>
      </c>
      <c r="R1532" t="s">
        <v>3007</v>
      </c>
      <c r="S1532" s="1">
        <v>44458</v>
      </c>
      <c r="T1532" s="1">
        <v>44460</v>
      </c>
      <c r="U1532">
        <v>37501</v>
      </c>
      <c r="V1532" t="s">
        <v>61</v>
      </c>
      <c r="W1532" t="s">
        <v>3008</v>
      </c>
      <c r="X1532" s="1">
        <v>44467</v>
      </c>
      <c r="Y1532" t="s">
        <v>63</v>
      </c>
      <c r="Z1532">
        <v>733.62</v>
      </c>
      <c r="AA1532">
        <v>16</v>
      </c>
      <c r="AB1532">
        <v>117.38</v>
      </c>
      <c r="AC1532">
        <v>85.1</v>
      </c>
      <c r="AD1532">
        <v>936.1</v>
      </c>
      <c r="AE1532">
        <v>4590.8599999999997</v>
      </c>
      <c r="AF1532">
        <v>5172</v>
      </c>
      <c r="AG1532" t="s">
        <v>3009</v>
      </c>
      <c r="AH1532" t="s">
        <v>65</v>
      </c>
      <c r="AI1532" t="s">
        <v>65</v>
      </c>
      <c r="AJ1532" t="s">
        <v>66</v>
      </c>
      <c r="AK1532" t="s">
        <v>66</v>
      </c>
      <c r="AL1532" t="s">
        <v>66</v>
      </c>
      <c r="AM1532" s="2" t="str">
        <f>HYPERLINK("https://transparencia.cidesi.mx/comprobantes/2021/CQ2100902 /C1QUZL400211Q66_42556.pdf")</f>
        <v>https://transparencia.cidesi.mx/comprobantes/2021/CQ2100902 /C1QUZL400211Q66_42556.pdf</v>
      </c>
      <c r="AN1532" t="str">
        <f>HYPERLINK("https://transparencia.cidesi.mx/comprobantes/2021/CQ2100902 /C1QUZL400211Q66_42556.pdf")</f>
        <v>https://transparencia.cidesi.mx/comprobantes/2021/CQ2100902 /C1QUZL400211Q66_42556.pdf</v>
      </c>
      <c r="AO1532" t="str">
        <f>HYPERLINK("https://transparencia.cidesi.mx/comprobantes/2021/CQ2100902 /C1QUZL400211Q66_42556.xml")</f>
        <v>https://transparencia.cidesi.mx/comprobantes/2021/CQ2100902 /C1QUZL400211Q66_42556.xml</v>
      </c>
      <c r="AP1532" t="s">
        <v>3010</v>
      </c>
      <c r="AQ1532" t="s">
        <v>3011</v>
      </c>
      <c r="AR1532" t="s">
        <v>3012</v>
      </c>
      <c r="AS1532" t="s">
        <v>3013</v>
      </c>
      <c r="AT1532" s="1">
        <v>44468</v>
      </c>
      <c r="AU1532" s="1">
        <v>44473</v>
      </c>
    </row>
    <row r="1533" spans="1:47" x14ac:dyDescent="0.3">
      <c r="A1533" t="s">
        <v>3003</v>
      </c>
      <c r="B1533" t="s">
        <v>198</v>
      </c>
      <c r="C1533" t="s">
        <v>199</v>
      </c>
      <c r="D1533">
        <v>101594</v>
      </c>
      <c r="E1533" t="s">
        <v>3004</v>
      </c>
      <c r="F1533" t="s">
        <v>1719</v>
      </c>
      <c r="G1533" t="s">
        <v>3005</v>
      </c>
      <c r="H1533" t="s">
        <v>3006</v>
      </c>
      <c r="I1533" t="s">
        <v>54</v>
      </c>
      <c r="J1533" t="s">
        <v>3007</v>
      </c>
      <c r="K1533" t="s">
        <v>56</v>
      </c>
      <c r="L1533">
        <v>100210</v>
      </c>
      <c r="M1533" t="s">
        <v>205</v>
      </c>
      <c r="N1533">
        <v>0</v>
      </c>
      <c r="O1533" t="s">
        <v>58</v>
      </c>
      <c r="P1533" t="s">
        <v>59</v>
      </c>
      <c r="Q1533" t="s">
        <v>330</v>
      </c>
      <c r="R1533" t="s">
        <v>3007</v>
      </c>
      <c r="S1533" s="1">
        <v>44458</v>
      </c>
      <c r="T1533" s="1">
        <v>44460</v>
      </c>
      <c r="U1533">
        <v>37501</v>
      </c>
      <c r="V1533" t="s">
        <v>61</v>
      </c>
      <c r="W1533" t="s">
        <v>3008</v>
      </c>
      <c r="X1533" s="1">
        <v>44467</v>
      </c>
      <c r="Y1533" t="s">
        <v>63</v>
      </c>
      <c r="Z1533">
        <v>252.87</v>
      </c>
      <c r="AA1533">
        <v>16</v>
      </c>
      <c r="AB1533">
        <v>40.46</v>
      </c>
      <c r="AC1533">
        <v>29.33</v>
      </c>
      <c r="AD1533">
        <v>322.66000000000003</v>
      </c>
      <c r="AE1533">
        <v>4590.8599999999997</v>
      </c>
      <c r="AF1533">
        <v>5172</v>
      </c>
      <c r="AG1533" t="s">
        <v>3009</v>
      </c>
      <c r="AH1533" t="s">
        <v>65</v>
      </c>
      <c r="AI1533" t="s">
        <v>65</v>
      </c>
      <c r="AJ1533" t="s">
        <v>66</v>
      </c>
      <c r="AK1533" t="s">
        <v>66</v>
      </c>
      <c r="AL1533" t="s">
        <v>66</v>
      </c>
      <c r="AM1533" s="2" t="str">
        <f>HYPERLINK("https://transparencia.cidesi.mx/comprobantes/2021/CQ2100902 /C2ITU560928MS0_77971.pdf")</f>
        <v>https://transparencia.cidesi.mx/comprobantes/2021/CQ2100902 /C2ITU560928MS0_77971.pdf</v>
      </c>
      <c r="AN1533" t="str">
        <f>HYPERLINK("https://transparencia.cidesi.mx/comprobantes/2021/CQ2100902 /C2ITU560928MS0_77971.pdf")</f>
        <v>https://transparencia.cidesi.mx/comprobantes/2021/CQ2100902 /C2ITU560928MS0_77971.pdf</v>
      </c>
      <c r="AO1533" t="str">
        <f>HYPERLINK("https://transparencia.cidesi.mx/comprobantes/2021/CQ2100902 /C2ITU560928MS0_77971.xml")</f>
        <v>https://transparencia.cidesi.mx/comprobantes/2021/CQ2100902 /C2ITU560928MS0_77971.xml</v>
      </c>
      <c r="AP1533" t="s">
        <v>3010</v>
      </c>
      <c r="AQ1533" t="s">
        <v>3011</v>
      </c>
      <c r="AR1533" t="s">
        <v>3012</v>
      </c>
      <c r="AS1533" t="s">
        <v>3013</v>
      </c>
      <c r="AT1533" s="1">
        <v>44468</v>
      </c>
      <c r="AU1533" s="1">
        <v>44473</v>
      </c>
    </row>
    <row r="1534" spans="1:47" x14ac:dyDescent="0.3">
      <c r="A1534" t="s">
        <v>3003</v>
      </c>
      <c r="B1534" t="s">
        <v>198</v>
      </c>
      <c r="C1534" t="s">
        <v>199</v>
      </c>
      <c r="D1534">
        <v>101594</v>
      </c>
      <c r="E1534" t="s">
        <v>3004</v>
      </c>
      <c r="F1534" t="s">
        <v>1719</v>
      </c>
      <c r="G1534" t="s">
        <v>3005</v>
      </c>
      <c r="H1534" t="s">
        <v>3006</v>
      </c>
      <c r="I1534" t="s">
        <v>54</v>
      </c>
      <c r="J1534" t="s">
        <v>3007</v>
      </c>
      <c r="K1534" t="s">
        <v>56</v>
      </c>
      <c r="L1534">
        <v>100210</v>
      </c>
      <c r="M1534" t="s">
        <v>205</v>
      </c>
      <c r="N1534">
        <v>0</v>
      </c>
      <c r="O1534" t="s">
        <v>58</v>
      </c>
      <c r="P1534" t="s">
        <v>59</v>
      </c>
      <c r="Q1534" t="s">
        <v>330</v>
      </c>
      <c r="R1534" t="s">
        <v>3007</v>
      </c>
      <c r="S1534" s="1">
        <v>44458</v>
      </c>
      <c r="T1534" s="1">
        <v>44460</v>
      </c>
      <c r="U1534">
        <v>37501</v>
      </c>
      <c r="V1534" t="s">
        <v>61</v>
      </c>
      <c r="W1534" t="s">
        <v>3008</v>
      </c>
      <c r="X1534" s="1">
        <v>44467</v>
      </c>
      <c r="Y1534" t="s">
        <v>63</v>
      </c>
      <c r="Z1534">
        <v>364.65</v>
      </c>
      <c r="AA1534">
        <v>16</v>
      </c>
      <c r="AB1534">
        <v>58.35</v>
      </c>
      <c r="AC1534">
        <v>0</v>
      </c>
      <c r="AD1534">
        <v>423</v>
      </c>
      <c r="AE1534">
        <v>4590.8599999999997</v>
      </c>
      <c r="AF1534">
        <v>5172</v>
      </c>
      <c r="AG1534" t="s">
        <v>3009</v>
      </c>
      <c r="AH1534" t="s">
        <v>65</v>
      </c>
      <c r="AI1534" t="s">
        <v>65</v>
      </c>
      <c r="AJ1534" t="s">
        <v>66</v>
      </c>
      <c r="AK1534" t="s">
        <v>66</v>
      </c>
      <c r="AL1534" t="s">
        <v>66</v>
      </c>
      <c r="AM1534" s="2" t="str">
        <f>HYPERLINK("https://transparencia.cidesi.mx/comprobantes/2021/CQ2100902 /C3GAL180827321-601_B16163.pdf")</f>
        <v>https://transparencia.cidesi.mx/comprobantes/2021/CQ2100902 /C3GAL180827321-601_B16163.pdf</v>
      </c>
      <c r="AN1534" t="str">
        <f>HYPERLINK("https://transparencia.cidesi.mx/comprobantes/2021/CQ2100902 /C3GAL180827321-601_B16163.pdf")</f>
        <v>https://transparencia.cidesi.mx/comprobantes/2021/CQ2100902 /C3GAL180827321-601_B16163.pdf</v>
      </c>
      <c r="AO1534" t="str">
        <f>HYPERLINK("https://transparencia.cidesi.mx/comprobantes/2021/CQ2100902 /C3GAL180827321-601_B16163.xml")</f>
        <v>https://transparencia.cidesi.mx/comprobantes/2021/CQ2100902 /C3GAL180827321-601_B16163.xml</v>
      </c>
      <c r="AP1534" t="s">
        <v>3010</v>
      </c>
      <c r="AQ1534" t="s">
        <v>3011</v>
      </c>
      <c r="AR1534" t="s">
        <v>3012</v>
      </c>
      <c r="AS1534" t="s">
        <v>3013</v>
      </c>
      <c r="AT1534" s="1">
        <v>44468</v>
      </c>
      <c r="AU1534" s="1">
        <v>44473</v>
      </c>
    </row>
    <row r="1535" spans="1:47" x14ac:dyDescent="0.3">
      <c r="A1535" t="s">
        <v>3003</v>
      </c>
      <c r="B1535" t="s">
        <v>198</v>
      </c>
      <c r="C1535" t="s">
        <v>199</v>
      </c>
      <c r="D1535">
        <v>101594</v>
      </c>
      <c r="E1535" t="s">
        <v>3004</v>
      </c>
      <c r="F1535" t="s">
        <v>1719</v>
      </c>
      <c r="G1535" t="s">
        <v>3005</v>
      </c>
      <c r="H1535" t="s">
        <v>3006</v>
      </c>
      <c r="I1535" t="s">
        <v>54</v>
      </c>
      <c r="J1535" t="s">
        <v>3007</v>
      </c>
      <c r="K1535" t="s">
        <v>56</v>
      </c>
      <c r="L1535">
        <v>100210</v>
      </c>
      <c r="M1535" t="s">
        <v>205</v>
      </c>
      <c r="N1535">
        <v>0</v>
      </c>
      <c r="O1535" t="s">
        <v>58</v>
      </c>
      <c r="P1535" t="s">
        <v>59</v>
      </c>
      <c r="Q1535" t="s">
        <v>330</v>
      </c>
      <c r="R1535" t="s">
        <v>3007</v>
      </c>
      <c r="S1535" s="1">
        <v>44458</v>
      </c>
      <c r="T1535" s="1">
        <v>44460</v>
      </c>
      <c r="U1535">
        <v>37501</v>
      </c>
      <c r="V1535" t="s">
        <v>61</v>
      </c>
      <c r="W1535" t="s">
        <v>3008</v>
      </c>
      <c r="X1535" s="1">
        <v>44467</v>
      </c>
      <c r="Y1535" t="s">
        <v>63</v>
      </c>
      <c r="Z1535">
        <v>517.24</v>
      </c>
      <c r="AA1535">
        <v>16</v>
      </c>
      <c r="AB1535">
        <v>82.76</v>
      </c>
      <c r="AC1535">
        <v>60</v>
      </c>
      <c r="AD1535">
        <v>660</v>
      </c>
      <c r="AE1535">
        <v>4590.8599999999997</v>
      </c>
      <c r="AF1535">
        <v>5172</v>
      </c>
      <c r="AG1535" t="s">
        <v>3009</v>
      </c>
      <c r="AH1535" t="s">
        <v>65</v>
      </c>
      <c r="AI1535" t="s">
        <v>65</v>
      </c>
      <c r="AJ1535" t="s">
        <v>66</v>
      </c>
      <c r="AK1535" t="s">
        <v>66</v>
      </c>
      <c r="AL1535" t="s">
        <v>66</v>
      </c>
      <c r="AM1535" s="2" t="str">
        <f>HYPERLINK("https://transparencia.cidesi.mx/comprobantes/2021/CQ2100902 /C4RFA140624NW0_111828-LFAPO.pdf")</f>
        <v>https://transparencia.cidesi.mx/comprobantes/2021/CQ2100902 /C4RFA140624NW0_111828-LFAPO.pdf</v>
      </c>
      <c r="AN1535" t="str">
        <f>HYPERLINK("https://transparencia.cidesi.mx/comprobantes/2021/CQ2100902 /C4RFA140624NW0_111828-LFAPO.pdf")</f>
        <v>https://transparencia.cidesi.mx/comprobantes/2021/CQ2100902 /C4RFA140624NW0_111828-LFAPO.pdf</v>
      </c>
      <c r="AO1535" t="str">
        <f>HYPERLINK("https://transparencia.cidesi.mx/comprobantes/2021/CQ2100902 /C4RFA140624NW0_111828-LFAPO.xml")</f>
        <v>https://transparencia.cidesi.mx/comprobantes/2021/CQ2100902 /C4RFA140624NW0_111828-LFAPO.xml</v>
      </c>
      <c r="AP1535" t="s">
        <v>3010</v>
      </c>
      <c r="AQ1535" t="s">
        <v>3011</v>
      </c>
      <c r="AR1535" t="s">
        <v>3012</v>
      </c>
      <c r="AS1535" t="s">
        <v>3013</v>
      </c>
      <c r="AT1535" s="1">
        <v>44468</v>
      </c>
      <c r="AU1535" s="1">
        <v>44473</v>
      </c>
    </row>
    <row r="1536" spans="1:47" x14ac:dyDescent="0.3">
      <c r="A1536" t="s">
        <v>3003</v>
      </c>
      <c r="B1536" t="s">
        <v>198</v>
      </c>
      <c r="C1536" t="s">
        <v>199</v>
      </c>
      <c r="D1536">
        <v>101594</v>
      </c>
      <c r="E1536" t="s">
        <v>3004</v>
      </c>
      <c r="F1536" t="s">
        <v>1719</v>
      </c>
      <c r="G1536" t="s">
        <v>3005</v>
      </c>
      <c r="H1536" t="s">
        <v>3006</v>
      </c>
      <c r="I1536" t="s">
        <v>54</v>
      </c>
      <c r="J1536" t="s">
        <v>3007</v>
      </c>
      <c r="K1536" t="s">
        <v>56</v>
      </c>
      <c r="L1536">
        <v>100210</v>
      </c>
      <c r="M1536" t="s">
        <v>205</v>
      </c>
      <c r="N1536">
        <v>0</v>
      </c>
      <c r="O1536" t="s">
        <v>58</v>
      </c>
      <c r="P1536" t="s">
        <v>59</v>
      </c>
      <c r="Q1536" t="s">
        <v>330</v>
      </c>
      <c r="R1536" t="s">
        <v>3007</v>
      </c>
      <c r="S1536" s="1">
        <v>44458</v>
      </c>
      <c r="T1536" s="1">
        <v>44460</v>
      </c>
      <c r="U1536">
        <v>37501</v>
      </c>
      <c r="V1536" t="s">
        <v>104</v>
      </c>
      <c r="W1536" t="s">
        <v>3008</v>
      </c>
      <c r="X1536" s="1">
        <v>44467</v>
      </c>
      <c r="Y1536" t="s">
        <v>63</v>
      </c>
      <c r="Z1536">
        <v>1946.7</v>
      </c>
      <c r="AA1536">
        <v>16</v>
      </c>
      <c r="AB1536">
        <v>302.39999999999998</v>
      </c>
      <c r="AC1536">
        <v>0</v>
      </c>
      <c r="AD1536">
        <v>2249.1</v>
      </c>
      <c r="AE1536">
        <v>4590.8599999999997</v>
      </c>
      <c r="AF1536">
        <v>5172</v>
      </c>
      <c r="AG1536" t="s">
        <v>3014</v>
      </c>
      <c r="AH1536" t="s">
        <v>65</v>
      </c>
      <c r="AI1536" t="s">
        <v>65</v>
      </c>
      <c r="AJ1536" t="s">
        <v>66</v>
      </c>
      <c r="AK1536" t="s">
        <v>66</v>
      </c>
      <c r="AL1536" t="s">
        <v>66</v>
      </c>
      <c r="AM1536" s="2" t="str">
        <f>HYPERLINK("https://transparencia.cidesi.mx/comprobantes/2021/CQ2100902 /C5ITU560928MS0_80953.pdf")</f>
        <v>https://transparencia.cidesi.mx/comprobantes/2021/CQ2100902 /C5ITU560928MS0_80953.pdf</v>
      </c>
      <c r="AN1536" t="str">
        <f>HYPERLINK("https://transparencia.cidesi.mx/comprobantes/2021/CQ2100902 /C5ITU560928MS0_80953.pdf")</f>
        <v>https://transparencia.cidesi.mx/comprobantes/2021/CQ2100902 /C5ITU560928MS0_80953.pdf</v>
      </c>
      <c r="AO1536" t="str">
        <f>HYPERLINK("https://transparencia.cidesi.mx/comprobantes/2021/CQ2100902 /C5ITU560928MS0_80953.xml")</f>
        <v>https://transparencia.cidesi.mx/comprobantes/2021/CQ2100902 /C5ITU560928MS0_80953.xml</v>
      </c>
      <c r="AP1536" t="s">
        <v>3010</v>
      </c>
      <c r="AQ1536" t="s">
        <v>3011</v>
      </c>
      <c r="AR1536" t="s">
        <v>3012</v>
      </c>
      <c r="AS1536" t="s">
        <v>3013</v>
      </c>
      <c r="AT1536" s="1">
        <v>44468</v>
      </c>
      <c r="AU1536" s="1">
        <v>44473</v>
      </c>
    </row>
    <row r="1537" spans="1:47" x14ac:dyDescent="0.3">
      <c r="A1537" t="s">
        <v>3003</v>
      </c>
      <c r="B1537" t="s">
        <v>198</v>
      </c>
      <c r="C1537" t="s">
        <v>199</v>
      </c>
      <c r="D1537">
        <v>101594</v>
      </c>
      <c r="E1537" t="s">
        <v>3004</v>
      </c>
      <c r="F1537" t="s">
        <v>1719</v>
      </c>
      <c r="G1537" t="s">
        <v>3005</v>
      </c>
      <c r="H1537" t="s">
        <v>3015</v>
      </c>
      <c r="I1537" t="s">
        <v>54</v>
      </c>
      <c r="J1537" t="s">
        <v>3016</v>
      </c>
      <c r="K1537" t="s">
        <v>56</v>
      </c>
      <c r="L1537">
        <v>0</v>
      </c>
      <c r="M1537" t="s">
        <v>73</v>
      </c>
      <c r="N1537">
        <v>0</v>
      </c>
      <c r="O1537" t="s">
        <v>58</v>
      </c>
      <c r="P1537" t="s">
        <v>59</v>
      </c>
      <c r="Q1537" t="s">
        <v>60</v>
      </c>
      <c r="R1537" t="s">
        <v>3016</v>
      </c>
      <c r="S1537" s="1">
        <v>44468</v>
      </c>
      <c r="T1537" s="1">
        <v>44468</v>
      </c>
      <c r="U1537">
        <v>37501</v>
      </c>
      <c r="V1537" t="s">
        <v>61</v>
      </c>
      <c r="W1537" t="s">
        <v>3017</v>
      </c>
      <c r="X1537" s="1">
        <v>44473</v>
      </c>
      <c r="Y1537" t="s">
        <v>207</v>
      </c>
      <c r="Z1537">
        <v>398.28</v>
      </c>
      <c r="AA1537">
        <v>16</v>
      </c>
      <c r="AB1537">
        <v>63.72</v>
      </c>
      <c r="AC1537">
        <v>46.2</v>
      </c>
      <c r="AD1537">
        <v>508.2</v>
      </c>
      <c r="AE1537">
        <v>508.2</v>
      </c>
      <c r="AF1537">
        <v>545</v>
      </c>
      <c r="AG1537" t="s">
        <v>3009</v>
      </c>
      <c r="AH1537" t="s">
        <v>65</v>
      </c>
      <c r="AI1537" t="s">
        <v>65</v>
      </c>
      <c r="AJ1537" t="s">
        <v>66</v>
      </c>
      <c r="AK1537" t="s">
        <v>66</v>
      </c>
      <c r="AL1537" t="s">
        <v>66</v>
      </c>
      <c r="AM1537" s="2" t="str">
        <f>HYPERLINK("https://transparencia.cidesi.mx/comprobantes/2021/CQ2100936 /C1GAS9404199I6_ITSANAÑ 61978.pdf")</f>
        <v>https://transparencia.cidesi.mx/comprobantes/2021/CQ2100936 /C1GAS9404199I6_ITSANAÑ 61978.pdf</v>
      </c>
      <c r="AN1537" t="str">
        <f>HYPERLINK("https://transparencia.cidesi.mx/comprobantes/2021/CQ2100936 /C1GAS9404199I6_ITSANAÑ 61978.pdf")</f>
        <v>https://transparencia.cidesi.mx/comprobantes/2021/CQ2100936 /C1GAS9404199I6_ITSANAÑ 61978.pdf</v>
      </c>
      <c r="AO1537" t="str">
        <f>HYPERLINK("https://transparencia.cidesi.mx/comprobantes/2021/CQ2100936 /C1GAS9404199I6_ITSANAÑ 61978.xml")</f>
        <v>https://transparencia.cidesi.mx/comprobantes/2021/CQ2100936 /C1GAS9404199I6_ITSANAÑ 61978.xml</v>
      </c>
      <c r="AP1537" t="s">
        <v>3018</v>
      </c>
      <c r="AQ1537" t="s">
        <v>3019</v>
      </c>
      <c r="AR1537" t="s">
        <v>3020</v>
      </c>
      <c r="AS1537" t="s">
        <v>3021</v>
      </c>
      <c r="AT1537" s="1">
        <v>44474</v>
      </c>
      <c r="AU1537" t="s">
        <v>73</v>
      </c>
    </row>
    <row r="1538" spans="1:47" x14ac:dyDescent="0.3">
      <c r="A1538" t="s">
        <v>3022</v>
      </c>
      <c r="B1538" t="s">
        <v>182</v>
      </c>
      <c r="C1538" t="s">
        <v>182</v>
      </c>
      <c r="D1538">
        <v>101703</v>
      </c>
      <c r="E1538" t="s">
        <v>3023</v>
      </c>
      <c r="F1538" t="s">
        <v>2106</v>
      </c>
      <c r="G1538" t="s">
        <v>52</v>
      </c>
      <c r="H1538" t="s">
        <v>3024</v>
      </c>
      <c r="I1538" t="s">
        <v>54</v>
      </c>
      <c r="J1538" t="s">
        <v>3025</v>
      </c>
      <c r="K1538" t="s">
        <v>56</v>
      </c>
      <c r="L1538">
        <v>0</v>
      </c>
      <c r="M1538" t="s">
        <v>73</v>
      </c>
      <c r="N1538">
        <v>0</v>
      </c>
      <c r="O1538" t="s">
        <v>58</v>
      </c>
      <c r="P1538" t="s">
        <v>59</v>
      </c>
      <c r="Q1538" t="s">
        <v>3026</v>
      </c>
      <c r="R1538" t="s">
        <v>3025</v>
      </c>
      <c r="S1538" s="1">
        <v>44461</v>
      </c>
      <c r="T1538" s="1">
        <v>44463</v>
      </c>
      <c r="U1538">
        <v>37501</v>
      </c>
      <c r="V1538" t="s">
        <v>61</v>
      </c>
      <c r="W1538" t="s">
        <v>3027</v>
      </c>
      <c r="X1538" s="1">
        <v>44469</v>
      </c>
      <c r="Y1538" t="s">
        <v>207</v>
      </c>
      <c r="Z1538">
        <v>112.07</v>
      </c>
      <c r="AA1538">
        <v>16</v>
      </c>
      <c r="AB1538">
        <v>17.93</v>
      </c>
      <c r="AC1538">
        <v>0</v>
      </c>
      <c r="AD1538">
        <v>130</v>
      </c>
      <c r="AE1538">
        <v>1594.63</v>
      </c>
      <c r="AF1538">
        <v>5172</v>
      </c>
      <c r="AG1538" t="s">
        <v>3028</v>
      </c>
      <c r="AH1538" t="s">
        <v>65</v>
      </c>
      <c r="AI1538" t="s">
        <v>65</v>
      </c>
      <c r="AJ1538" t="s">
        <v>66</v>
      </c>
      <c r="AK1538" t="s">
        <v>66</v>
      </c>
      <c r="AL1538" t="s">
        <v>66</v>
      </c>
      <c r="AM1538" s="2" t="str">
        <f>HYPERLINK("https://transparencia.cidesi.mx/comprobantes/2021/CQ2100916 /C1F72571_CSI020226MV4.pdf")</f>
        <v>https://transparencia.cidesi.mx/comprobantes/2021/CQ2100916 /C1F72571_CSI020226MV4.pdf</v>
      </c>
      <c r="AN1538" t="str">
        <f>HYPERLINK("https://transparencia.cidesi.mx/comprobantes/2021/CQ2100916 /C1F72571_CSI020226MV4.pdf")</f>
        <v>https://transparencia.cidesi.mx/comprobantes/2021/CQ2100916 /C1F72571_CSI020226MV4.pdf</v>
      </c>
      <c r="AO1538" t="str">
        <f>HYPERLINK("https://transparencia.cidesi.mx/comprobantes/2021/CQ2100916 /C1F72571_CSI020226MV4.xml")</f>
        <v>https://transparencia.cidesi.mx/comprobantes/2021/CQ2100916 /C1F72571_CSI020226MV4.xml</v>
      </c>
      <c r="AP1538" t="s">
        <v>3025</v>
      </c>
      <c r="AQ1538" t="s">
        <v>3029</v>
      </c>
      <c r="AR1538" t="s">
        <v>3030</v>
      </c>
      <c r="AS1538" t="s">
        <v>3031</v>
      </c>
      <c r="AT1538" s="1">
        <v>44473</v>
      </c>
      <c r="AU1538" t="s">
        <v>73</v>
      </c>
    </row>
    <row r="1539" spans="1:47" x14ac:dyDescent="0.3">
      <c r="A1539" t="s">
        <v>3022</v>
      </c>
      <c r="B1539" t="s">
        <v>182</v>
      </c>
      <c r="C1539" t="s">
        <v>182</v>
      </c>
      <c r="D1539">
        <v>101703</v>
      </c>
      <c r="E1539" t="s">
        <v>3023</v>
      </c>
      <c r="F1539" t="s">
        <v>2106</v>
      </c>
      <c r="G1539" t="s">
        <v>52</v>
      </c>
      <c r="H1539" t="s">
        <v>3024</v>
      </c>
      <c r="I1539" t="s">
        <v>54</v>
      </c>
      <c r="J1539" t="s">
        <v>3025</v>
      </c>
      <c r="K1539" t="s">
        <v>56</v>
      </c>
      <c r="L1539">
        <v>0</v>
      </c>
      <c r="M1539" t="s">
        <v>73</v>
      </c>
      <c r="N1539">
        <v>0</v>
      </c>
      <c r="O1539" t="s">
        <v>58</v>
      </c>
      <c r="P1539" t="s">
        <v>59</v>
      </c>
      <c r="Q1539" t="s">
        <v>3026</v>
      </c>
      <c r="R1539" t="s">
        <v>3025</v>
      </c>
      <c r="S1539" s="1">
        <v>44461</v>
      </c>
      <c r="T1539" s="1">
        <v>44463</v>
      </c>
      <c r="U1539">
        <v>37501</v>
      </c>
      <c r="V1539" t="s">
        <v>61</v>
      </c>
      <c r="W1539" t="s">
        <v>3027</v>
      </c>
      <c r="X1539" s="1">
        <v>44469</v>
      </c>
      <c r="Y1539" t="s">
        <v>207</v>
      </c>
      <c r="Z1539">
        <v>437.93</v>
      </c>
      <c r="AA1539">
        <v>16</v>
      </c>
      <c r="AB1539">
        <v>70.069999999999993</v>
      </c>
      <c r="AC1539">
        <v>50.8</v>
      </c>
      <c r="AD1539">
        <v>558.79999999999995</v>
      </c>
      <c r="AE1539">
        <v>1594.63</v>
      </c>
      <c r="AF1539">
        <v>5172</v>
      </c>
      <c r="AG1539" t="s">
        <v>3028</v>
      </c>
      <c r="AH1539" t="s">
        <v>65</v>
      </c>
      <c r="AI1539" t="s">
        <v>65</v>
      </c>
      <c r="AJ1539" t="s">
        <v>66</v>
      </c>
      <c r="AK1539" t="s">
        <v>66</v>
      </c>
      <c r="AL1539" t="s">
        <v>66</v>
      </c>
      <c r="AM1539" s="2" t="str">
        <f>HYPERLINK("https://transparencia.cidesi.mx/comprobantes/2021/CQ2100916 /C2FJT21051_APPO104096Z4.pdf")</f>
        <v>https://transparencia.cidesi.mx/comprobantes/2021/CQ2100916 /C2FJT21051_APPO104096Z4.pdf</v>
      </c>
      <c r="AN1539" t="str">
        <f>HYPERLINK("https://transparencia.cidesi.mx/comprobantes/2021/CQ2100916 /C2FJT21051_APPO104096Z4.pdf")</f>
        <v>https://transparencia.cidesi.mx/comprobantes/2021/CQ2100916 /C2FJT21051_APPO104096Z4.pdf</v>
      </c>
      <c r="AO1539" t="str">
        <f>HYPERLINK("https://transparencia.cidesi.mx/comprobantes/2021/CQ2100916 /C2FJT21051_APPO104096Z4.xml")</f>
        <v>https://transparencia.cidesi.mx/comprobantes/2021/CQ2100916 /C2FJT21051_APPO104096Z4.xml</v>
      </c>
      <c r="AP1539" t="s">
        <v>3025</v>
      </c>
      <c r="AQ1539" t="s">
        <v>3029</v>
      </c>
      <c r="AR1539" t="s">
        <v>3030</v>
      </c>
      <c r="AS1539" t="s">
        <v>3031</v>
      </c>
      <c r="AT1539" s="1">
        <v>44473</v>
      </c>
      <c r="AU1539" t="s">
        <v>73</v>
      </c>
    </row>
    <row r="1540" spans="1:47" x14ac:dyDescent="0.3">
      <c r="A1540" t="s">
        <v>3022</v>
      </c>
      <c r="B1540" t="s">
        <v>182</v>
      </c>
      <c r="C1540" t="s">
        <v>182</v>
      </c>
      <c r="D1540">
        <v>101703</v>
      </c>
      <c r="E1540" t="s">
        <v>3023</v>
      </c>
      <c r="F1540" t="s">
        <v>2106</v>
      </c>
      <c r="G1540" t="s">
        <v>52</v>
      </c>
      <c r="H1540" t="s">
        <v>3024</v>
      </c>
      <c r="I1540" t="s">
        <v>54</v>
      </c>
      <c r="J1540" t="s">
        <v>3025</v>
      </c>
      <c r="K1540" t="s">
        <v>56</v>
      </c>
      <c r="L1540">
        <v>0</v>
      </c>
      <c r="M1540" t="s">
        <v>73</v>
      </c>
      <c r="N1540">
        <v>0</v>
      </c>
      <c r="O1540" t="s">
        <v>58</v>
      </c>
      <c r="P1540" t="s">
        <v>59</v>
      </c>
      <c r="Q1540" t="s">
        <v>3026</v>
      </c>
      <c r="R1540" t="s">
        <v>3025</v>
      </c>
      <c r="S1540" s="1">
        <v>44461</v>
      </c>
      <c r="T1540" s="1">
        <v>44463</v>
      </c>
      <c r="U1540">
        <v>37501</v>
      </c>
      <c r="V1540" t="s">
        <v>61</v>
      </c>
      <c r="W1540" t="s">
        <v>3027</v>
      </c>
      <c r="X1540" s="1">
        <v>44469</v>
      </c>
      <c r="Y1540" t="s">
        <v>207</v>
      </c>
      <c r="Z1540">
        <v>59</v>
      </c>
      <c r="AA1540">
        <v>0</v>
      </c>
      <c r="AB1540">
        <v>0</v>
      </c>
      <c r="AC1540">
        <v>0</v>
      </c>
      <c r="AD1540">
        <v>59</v>
      </c>
      <c r="AE1540">
        <v>1594.63</v>
      </c>
      <c r="AF1540">
        <v>5172</v>
      </c>
      <c r="AG1540" t="s">
        <v>3028</v>
      </c>
      <c r="AH1540" t="s">
        <v>65</v>
      </c>
      <c r="AI1540" t="s">
        <v>65</v>
      </c>
      <c r="AJ1540" t="s">
        <v>66</v>
      </c>
      <c r="AK1540" t="s">
        <v>66</v>
      </c>
      <c r="AL1540" t="s">
        <v>66</v>
      </c>
      <c r="AM1540" s="2" t="str">
        <f>HYPERLINK("https://transparencia.cidesi.mx/comprobantes/2021/CQ2100916 /C3F4109_DBC130624HU3.pdf")</f>
        <v>https://transparencia.cidesi.mx/comprobantes/2021/CQ2100916 /C3F4109_DBC130624HU3.pdf</v>
      </c>
      <c r="AN1540" t="str">
        <f>HYPERLINK("https://transparencia.cidesi.mx/comprobantes/2021/CQ2100916 /C3F4109_DBC130624HU3.pdf")</f>
        <v>https://transparencia.cidesi.mx/comprobantes/2021/CQ2100916 /C3F4109_DBC130624HU3.pdf</v>
      </c>
      <c r="AO1540" t="str">
        <f>HYPERLINK("https://transparencia.cidesi.mx/comprobantes/2021/CQ2100916 /C3F4109_DBC130624HU3.xml")</f>
        <v>https://transparencia.cidesi.mx/comprobantes/2021/CQ2100916 /C3F4109_DBC130624HU3.xml</v>
      </c>
      <c r="AP1540" t="s">
        <v>3025</v>
      </c>
      <c r="AQ1540" t="s">
        <v>3029</v>
      </c>
      <c r="AR1540" t="s">
        <v>3030</v>
      </c>
      <c r="AS1540" t="s">
        <v>3031</v>
      </c>
      <c r="AT1540" s="1">
        <v>44473</v>
      </c>
      <c r="AU1540" t="s">
        <v>73</v>
      </c>
    </row>
    <row r="1541" spans="1:47" x14ac:dyDescent="0.3">
      <c r="A1541" t="s">
        <v>3022</v>
      </c>
      <c r="B1541" t="s">
        <v>182</v>
      </c>
      <c r="C1541" t="s">
        <v>182</v>
      </c>
      <c r="D1541">
        <v>101703</v>
      </c>
      <c r="E1541" t="s">
        <v>3023</v>
      </c>
      <c r="F1541" t="s">
        <v>2106</v>
      </c>
      <c r="G1541" t="s">
        <v>52</v>
      </c>
      <c r="H1541" t="s">
        <v>3024</v>
      </c>
      <c r="I1541" t="s">
        <v>54</v>
      </c>
      <c r="J1541" t="s">
        <v>3025</v>
      </c>
      <c r="K1541" t="s">
        <v>56</v>
      </c>
      <c r="L1541">
        <v>0</v>
      </c>
      <c r="M1541" t="s">
        <v>73</v>
      </c>
      <c r="N1541">
        <v>0</v>
      </c>
      <c r="O1541" t="s">
        <v>58</v>
      </c>
      <c r="P1541" t="s">
        <v>59</v>
      </c>
      <c r="Q1541" t="s">
        <v>3026</v>
      </c>
      <c r="R1541" t="s">
        <v>3025</v>
      </c>
      <c r="S1541" s="1">
        <v>44461</v>
      </c>
      <c r="T1541" s="1">
        <v>44463</v>
      </c>
      <c r="U1541">
        <v>37501</v>
      </c>
      <c r="V1541" t="s">
        <v>61</v>
      </c>
      <c r="W1541" t="s">
        <v>3027</v>
      </c>
      <c r="X1541" s="1">
        <v>44469</v>
      </c>
      <c r="Y1541" t="s">
        <v>207</v>
      </c>
      <c r="Z1541">
        <v>205.17</v>
      </c>
      <c r="AA1541">
        <v>16</v>
      </c>
      <c r="AB1541">
        <v>32.83</v>
      </c>
      <c r="AC1541">
        <v>0</v>
      </c>
      <c r="AD1541">
        <v>238</v>
      </c>
      <c r="AE1541">
        <v>1594.63</v>
      </c>
      <c r="AF1541">
        <v>5172</v>
      </c>
      <c r="AG1541" t="s">
        <v>3028</v>
      </c>
      <c r="AH1541" t="s">
        <v>65</v>
      </c>
      <c r="AI1541" t="s">
        <v>65</v>
      </c>
      <c r="AJ1541" t="s">
        <v>66</v>
      </c>
      <c r="AK1541" t="s">
        <v>66</v>
      </c>
      <c r="AL1541" t="s">
        <v>66</v>
      </c>
      <c r="AM1541" s="2" t="str">
        <f>HYPERLINK("https://transparencia.cidesi.mx/comprobantes/2021/CQ2100916 /C4F66901113023678_AER990218E83.pdf")</f>
        <v>https://transparencia.cidesi.mx/comprobantes/2021/CQ2100916 /C4F66901113023678_AER990218E83.pdf</v>
      </c>
      <c r="AN1541" t="str">
        <f>HYPERLINK("https://transparencia.cidesi.mx/comprobantes/2021/CQ2100916 /C4F66901113023678_AER990218E83.pdf")</f>
        <v>https://transparencia.cidesi.mx/comprobantes/2021/CQ2100916 /C4F66901113023678_AER990218E83.pdf</v>
      </c>
      <c r="AO1541" t="str">
        <f>HYPERLINK("https://transparencia.cidesi.mx/comprobantes/2021/CQ2100916 /C4F66901113023678_AER990218E83.xml")</f>
        <v>https://transparencia.cidesi.mx/comprobantes/2021/CQ2100916 /C4F66901113023678_AER990218E83.xml</v>
      </c>
      <c r="AP1541" t="s">
        <v>3025</v>
      </c>
      <c r="AQ1541" t="s">
        <v>3029</v>
      </c>
      <c r="AR1541" t="s">
        <v>3030</v>
      </c>
      <c r="AS1541" t="s">
        <v>3031</v>
      </c>
      <c r="AT1541" s="1">
        <v>44473</v>
      </c>
      <c r="AU1541" t="s">
        <v>73</v>
      </c>
    </row>
    <row r="1542" spans="1:47" x14ac:dyDescent="0.3">
      <c r="A1542" t="s">
        <v>3022</v>
      </c>
      <c r="B1542" t="s">
        <v>182</v>
      </c>
      <c r="C1542" t="s">
        <v>182</v>
      </c>
      <c r="D1542">
        <v>101703</v>
      </c>
      <c r="E1542" t="s">
        <v>3023</v>
      </c>
      <c r="F1542" t="s">
        <v>2106</v>
      </c>
      <c r="G1542" t="s">
        <v>52</v>
      </c>
      <c r="H1542" t="s">
        <v>3024</v>
      </c>
      <c r="I1542" t="s">
        <v>54</v>
      </c>
      <c r="J1542" t="s">
        <v>3025</v>
      </c>
      <c r="K1542" t="s">
        <v>56</v>
      </c>
      <c r="L1542">
        <v>0</v>
      </c>
      <c r="M1542" t="s">
        <v>73</v>
      </c>
      <c r="N1542">
        <v>0</v>
      </c>
      <c r="O1542" t="s">
        <v>58</v>
      </c>
      <c r="P1542" t="s">
        <v>59</v>
      </c>
      <c r="Q1542" t="s">
        <v>3026</v>
      </c>
      <c r="R1542" t="s">
        <v>3025</v>
      </c>
      <c r="S1542" s="1">
        <v>44461</v>
      </c>
      <c r="T1542" s="1">
        <v>44463</v>
      </c>
      <c r="U1542">
        <v>37501</v>
      </c>
      <c r="V1542" t="s">
        <v>534</v>
      </c>
      <c r="W1542" t="s">
        <v>3027</v>
      </c>
      <c r="X1542" s="1">
        <v>44469</v>
      </c>
      <c r="Y1542" t="s">
        <v>207</v>
      </c>
      <c r="Z1542">
        <v>390</v>
      </c>
      <c r="AA1542">
        <v>0</v>
      </c>
      <c r="AB1542">
        <v>0</v>
      </c>
      <c r="AC1542">
        <v>0</v>
      </c>
      <c r="AD1542">
        <v>390</v>
      </c>
      <c r="AE1542">
        <v>1594.63</v>
      </c>
      <c r="AF1542">
        <v>5172</v>
      </c>
      <c r="AG1542" t="s">
        <v>3032</v>
      </c>
      <c r="AH1542" t="s">
        <v>66</v>
      </c>
      <c r="AI1542" t="s">
        <v>65</v>
      </c>
      <c r="AJ1542" t="s">
        <v>66</v>
      </c>
      <c r="AK1542" t="s">
        <v>66</v>
      </c>
      <c r="AL1542" t="s">
        <v>66</v>
      </c>
      <c r="AM1542" s="2" t="str">
        <f>HYPERLINK("https://transparencia.cidesi.mx/comprobantes/2021/CQ2100916 /C5F15877_TTC0309033N5.pdf")</f>
        <v>https://transparencia.cidesi.mx/comprobantes/2021/CQ2100916 /C5F15877_TTC0309033N5.pdf</v>
      </c>
      <c r="AN1542" t="str">
        <f>HYPERLINK("https://transparencia.cidesi.mx/comprobantes/2021/CQ2100916 /C5F15877_TTC0309033N5.pdf")</f>
        <v>https://transparencia.cidesi.mx/comprobantes/2021/CQ2100916 /C5F15877_TTC0309033N5.pdf</v>
      </c>
      <c r="AO1542" t="str">
        <f>HYPERLINK("https://transparencia.cidesi.mx/comprobantes/2021/CQ2100916 /C5F15877_TTC0309033N5.xml")</f>
        <v>https://transparencia.cidesi.mx/comprobantes/2021/CQ2100916 /C5F15877_TTC0309033N5.xml</v>
      </c>
      <c r="AP1542" t="s">
        <v>3025</v>
      </c>
      <c r="AQ1542" t="s">
        <v>3029</v>
      </c>
      <c r="AR1542" t="s">
        <v>3030</v>
      </c>
      <c r="AS1542" t="s">
        <v>3031</v>
      </c>
      <c r="AT1542" s="1">
        <v>44473</v>
      </c>
      <c r="AU1542" t="s">
        <v>73</v>
      </c>
    </row>
    <row r="1543" spans="1:47" x14ac:dyDescent="0.3">
      <c r="A1543" t="s">
        <v>3022</v>
      </c>
      <c r="B1543" t="s">
        <v>182</v>
      </c>
      <c r="C1543" t="s">
        <v>182</v>
      </c>
      <c r="D1543">
        <v>101703</v>
      </c>
      <c r="E1543" t="s">
        <v>3023</v>
      </c>
      <c r="F1543" t="s">
        <v>2106</v>
      </c>
      <c r="G1543" t="s">
        <v>52</v>
      </c>
      <c r="H1543" t="s">
        <v>3024</v>
      </c>
      <c r="I1543" t="s">
        <v>54</v>
      </c>
      <c r="J1543" t="s">
        <v>3025</v>
      </c>
      <c r="K1543" t="s">
        <v>56</v>
      </c>
      <c r="L1543">
        <v>0</v>
      </c>
      <c r="M1543" t="s">
        <v>73</v>
      </c>
      <c r="N1543">
        <v>0</v>
      </c>
      <c r="O1543" t="s">
        <v>58</v>
      </c>
      <c r="P1543" t="s">
        <v>59</v>
      </c>
      <c r="Q1543" t="s">
        <v>3026</v>
      </c>
      <c r="R1543" t="s">
        <v>3025</v>
      </c>
      <c r="S1543" s="1">
        <v>44461</v>
      </c>
      <c r="T1543" s="1">
        <v>44463</v>
      </c>
      <c r="U1543">
        <v>37501</v>
      </c>
      <c r="V1543" t="s">
        <v>534</v>
      </c>
      <c r="W1543" t="s">
        <v>3027</v>
      </c>
      <c r="X1543" s="1">
        <v>44469</v>
      </c>
      <c r="Y1543" t="s">
        <v>207</v>
      </c>
      <c r="Z1543">
        <v>33.57</v>
      </c>
      <c r="AA1543">
        <v>16</v>
      </c>
      <c r="AB1543">
        <v>5.37</v>
      </c>
      <c r="AC1543">
        <v>0</v>
      </c>
      <c r="AD1543">
        <v>38.94</v>
      </c>
      <c r="AE1543">
        <v>1594.63</v>
      </c>
      <c r="AF1543">
        <v>5172</v>
      </c>
      <c r="AG1543" t="s">
        <v>3032</v>
      </c>
      <c r="AH1543" t="s">
        <v>66</v>
      </c>
      <c r="AI1543" t="s">
        <v>65</v>
      </c>
      <c r="AJ1543" t="s">
        <v>66</v>
      </c>
      <c r="AK1543" t="s">
        <v>66</v>
      </c>
      <c r="AL1543" t="s">
        <v>66</v>
      </c>
      <c r="AM1543" s="2" t="str">
        <f>HYPERLINK("https://transparencia.cidesi.mx/comprobantes/2021/CQ2100916 /C6F0000215_SATC680626RSA.pdf")</f>
        <v>https://transparencia.cidesi.mx/comprobantes/2021/CQ2100916 /C6F0000215_SATC680626RSA.pdf</v>
      </c>
      <c r="AN1543" t="str">
        <f>HYPERLINK("https://transparencia.cidesi.mx/comprobantes/2021/CQ2100916 /C6F0000215_SATC680626RSA.pdf")</f>
        <v>https://transparencia.cidesi.mx/comprobantes/2021/CQ2100916 /C6F0000215_SATC680626RSA.pdf</v>
      </c>
      <c r="AO1543" t="str">
        <f>HYPERLINK("https://transparencia.cidesi.mx/comprobantes/2021/CQ2100916 /C6F0000215_SATC680626RSA.xml")</f>
        <v>https://transparencia.cidesi.mx/comprobantes/2021/CQ2100916 /C6F0000215_SATC680626RSA.xml</v>
      </c>
      <c r="AP1543" t="s">
        <v>3025</v>
      </c>
      <c r="AQ1543" t="s">
        <v>3029</v>
      </c>
      <c r="AR1543" t="s">
        <v>3030</v>
      </c>
      <c r="AS1543" t="s">
        <v>3031</v>
      </c>
      <c r="AT1543" s="1">
        <v>44473</v>
      </c>
      <c r="AU1543" t="s">
        <v>73</v>
      </c>
    </row>
    <row r="1544" spans="1:47" x14ac:dyDescent="0.3">
      <c r="A1544" t="s">
        <v>3022</v>
      </c>
      <c r="B1544" t="s">
        <v>182</v>
      </c>
      <c r="C1544" t="s">
        <v>182</v>
      </c>
      <c r="D1544">
        <v>101703</v>
      </c>
      <c r="E1544" t="s">
        <v>3023</v>
      </c>
      <c r="F1544" t="s">
        <v>2106</v>
      </c>
      <c r="G1544" t="s">
        <v>52</v>
      </c>
      <c r="H1544" t="s">
        <v>3024</v>
      </c>
      <c r="I1544" t="s">
        <v>54</v>
      </c>
      <c r="J1544" t="s">
        <v>3025</v>
      </c>
      <c r="K1544" t="s">
        <v>56</v>
      </c>
      <c r="L1544">
        <v>0</v>
      </c>
      <c r="M1544" t="s">
        <v>73</v>
      </c>
      <c r="N1544">
        <v>0</v>
      </c>
      <c r="O1544" t="s">
        <v>58</v>
      </c>
      <c r="P1544" t="s">
        <v>59</v>
      </c>
      <c r="Q1544" t="s">
        <v>3026</v>
      </c>
      <c r="R1544" t="s">
        <v>3025</v>
      </c>
      <c r="S1544" s="1">
        <v>44461</v>
      </c>
      <c r="T1544" s="1">
        <v>44463</v>
      </c>
      <c r="U1544">
        <v>37501</v>
      </c>
      <c r="V1544" t="s">
        <v>534</v>
      </c>
      <c r="W1544" t="s">
        <v>3027</v>
      </c>
      <c r="X1544" s="1">
        <v>44469</v>
      </c>
      <c r="Y1544" t="s">
        <v>207</v>
      </c>
      <c r="Z1544">
        <v>166.56</v>
      </c>
      <c r="AA1544">
        <v>16</v>
      </c>
      <c r="AB1544">
        <v>13.33</v>
      </c>
      <c r="AC1544">
        <v>0</v>
      </c>
      <c r="AD1544">
        <v>179.89</v>
      </c>
      <c r="AE1544">
        <v>1594.63</v>
      </c>
      <c r="AF1544">
        <v>5172</v>
      </c>
      <c r="AG1544" t="s">
        <v>3032</v>
      </c>
      <c r="AH1544" t="s">
        <v>66</v>
      </c>
      <c r="AI1544" t="s">
        <v>65</v>
      </c>
      <c r="AJ1544" t="s">
        <v>66</v>
      </c>
      <c r="AK1544" t="s">
        <v>66</v>
      </c>
      <c r="AL1544" t="s">
        <v>66</v>
      </c>
      <c r="AM1544" s="2" t="str">
        <f>HYPERLINK("https://transparencia.cidesi.mx/comprobantes/2021/CQ2100916 /C7F0001325_GACE880814J90.pdf")</f>
        <v>https://transparencia.cidesi.mx/comprobantes/2021/CQ2100916 /C7F0001325_GACE880814J90.pdf</v>
      </c>
      <c r="AN1544" t="str">
        <f>HYPERLINK("https://transparencia.cidesi.mx/comprobantes/2021/CQ2100916 /C7F0001325_GACE880814J90.pdf")</f>
        <v>https://transparencia.cidesi.mx/comprobantes/2021/CQ2100916 /C7F0001325_GACE880814J90.pdf</v>
      </c>
      <c r="AO1544" t="str">
        <f>HYPERLINK("https://transparencia.cidesi.mx/comprobantes/2021/CQ2100916 /C7F0001325_GACE880814J90.xml")</f>
        <v>https://transparencia.cidesi.mx/comprobantes/2021/CQ2100916 /C7F0001325_GACE880814J90.xml</v>
      </c>
      <c r="AP1544" t="s">
        <v>3025</v>
      </c>
      <c r="AQ1544" t="s">
        <v>3029</v>
      </c>
      <c r="AR1544" t="s">
        <v>3030</v>
      </c>
      <c r="AS1544" t="s">
        <v>3031</v>
      </c>
      <c r="AT1544" s="1">
        <v>44473</v>
      </c>
      <c r="AU1544" t="s">
        <v>73</v>
      </c>
    </row>
    <row r="1545" spans="1:47" x14ac:dyDescent="0.3">
      <c r="A1545" t="s">
        <v>3033</v>
      </c>
      <c r="B1545" t="s">
        <v>2079</v>
      </c>
      <c r="C1545" t="s">
        <v>2079</v>
      </c>
      <c r="D1545">
        <v>101721</v>
      </c>
      <c r="E1545" t="s">
        <v>3034</v>
      </c>
      <c r="F1545" t="s">
        <v>3035</v>
      </c>
      <c r="G1545" t="s">
        <v>3036</v>
      </c>
      <c r="H1545" t="s">
        <v>3037</v>
      </c>
      <c r="I1545" t="s">
        <v>54</v>
      </c>
      <c r="J1545" t="s">
        <v>3038</v>
      </c>
      <c r="K1545" t="s">
        <v>56</v>
      </c>
      <c r="L1545">
        <v>0</v>
      </c>
      <c r="M1545" t="s">
        <v>73</v>
      </c>
      <c r="N1545">
        <v>0</v>
      </c>
      <c r="O1545" t="s">
        <v>58</v>
      </c>
      <c r="P1545" t="s">
        <v>59</v>
      </c>
      <c r="Q1545" t="s">
        <v>297</v>
      </c>
      <c r="R1545" t="s">
        <v>3038</v>
      </c>
      <c r="S1545" s="1">
        <v>44440</v>
      </c>
      <c r="T1545" s="1">
        <v>44442</v>
      </c>
      <c r="U1545">
        <v>37501</v>
      </c>
      <c r="V1545" t="s">
        <v>61</v>
      </c>
      <c r="W1545" t="s">
        <v>3039</v>
      </c>
      <c r="X1545" s="1">
        <v>44447</v>
      </c>
      <c r="Y1545" t="s">
        <v>207</v>
      </c>
      <c r="Z1545">
        <v>760.78</v>
      </c>
      <c r="AA1545">
        <v>16</v>
      </c>
      <c r="AB1545">
        <v>121.72</v>
      </c>
      <c r="AC1545">
        <v>88.25</v>
      </c>
      <c r="AD1545">
        <v>970.75</v>
      </c>
      <c r="AE1545">
        <v>5491.42</v>
      </c>
      <c r="AF1545">
        <v>5172</v>
      </c>
      <c r="AG1545" t="s">
        <v>3040</v>
      </c>
      <c r="AH1545" t="s">
        <v>65</v>
      </c>
      <c r="AI1545" t="s">
        <v>65</v>
      </c>
      <c r="AJ1545" t="s">
        <v>66</v>
      </c>
      <c r="AK1545" t="s">
        <v>66</v>
      </c>
      <c r="AL1545" t="s">
        <v>66</v>
      </c>
      <c r="AM1545" s="2" t="str">
        <f>HYPERLINK("https://transparencia.cidesi.mx/comprobantes/2021/CQ2100759 /C1F110783-LFAPO_CID840309UG7.xml")</f>
        <v>https://transparencia.cidesi.mx/comprobantes/2021/CQ2100759 /C1F110783-LFAPO_CID840309UG7.xml</v>
      </c>
      <c r="AN1545" t="str">
        <f>HYPERLINK("https://transparencia.cidesi.mx/comprobantes/2021/CQ2100759 /C1F110783-LFAPO_CID840309UG7.xml")</f>
        <v>https://transparencia.cidesi.mx/comprobantes/2021/CQ2100759 /C1F110783-LFAPO_CID840309UG7.xml</v>
      </c>
      <c r="AO1545" t="str">
        <f>HYPERLINK("https://transparencia.cidesi.mx/comprobantes/2021/CQ2100759 /C1F110783-LFAPO_CID840309UG7.xml")</f>
        <v>https://transparencia.cidesi.mx/comprobantes/2021/CQ2100759 /C1F110783-LFAPO_CID840309UG7.xml</v>
      </c>
      <c r="AP1545" t="s">
        <v>3041</v>
      </c>
      <c r="AQ1545" t="s">
        <v>3042</v>
      </c>
      <c r="AR1545" t="s">
        <v>3043</v>
      </c>
      <c r="AS1545" t="s">
        <v>3044</v>
      </c>
      <c r="AT1545" s="1">
        <v>44449</v>
      </c>
      <c r="AU1545" t="s">
        <v>73</v>
      </c>
    </row>
    <row r="1546" spans="1:47" x14ac:dyDescent="0.3">
      <c r="A1546" t="s">
        <v>3033</v>
      </c>
      <c r="B1546" t="s">
        <v>2079</v>
      </c>
      <c r="C1546" t="s">
        <v>2079</v>
      </c>
      <c r="D1546">
        <v>101721</v>
      </c>
      <c r="E1546" t="s">
        <v>3034</v>
      </c>
      <c r="F1546" t="s">
        <v>3035</v>
      </c>
      <c r="G1546" t="s">
        <v>3036</v>
      </c>
      <c r="H1546" t="s">
        <v>3037</v>
      </c>
      <c r="I1546" t="s">
        <v>54</v>
      </c>
      <c r="J1546" t="s">
        <v>3038</v>
      </c>
      <c r="K1546" t="s">
        <v>56</v>
      </c>
      <c r="L1546">
        <v>0</v>
      </c>
      <c r="M1546" t="s">
        <v>73</v>
      </c>
      <c r="N1546">
        <v>0</v>
      </c>
      <c r="O1546" t="s">
        <v>58</v>
      </c>
      <c r="P1546" t="s">
        <v>59</v>
      </c>
      <c r="Q1546" t="s">
        <v>297</v>
      </c>
      <c r="R1546" t="s">
        <v>3038</v>
      </c>
      <c r="S1546" s="1">
        <v>44440</v>
      </c>
      <c r="T1546" s="1">
        <v>44442</v>
      </c>
      <c r="U1546">
        <v>37501</v>
      </c>
      <c r="V1546" t="s">
        <v>2322</v>
      </c>
      <c r="W1546" t="s">
        <v>3039</v>
      </c>
      <c r="X1546" s="1">
        <v>44447</v>
      </c>
      <c r="Y1546" t="s">
        <v>207</v>
      </c>
      <c r="Z1546">
        <v>412</v>
      </c>
      <c r="AA1546">
        <v>0</v>
      </c>
      <c r="AB1546">
        <v>0</v>
      </c>
      <c r="AC1546">
        <v>0</v>
      </c>
      <c r="AD1546">
        <v>412</v>
      </c>
      <c r="AE1546">
        <v>5491.42</v>
      </c>
      <c r="AF1546">
        <v>5172</v>
      </c>
      <c r="AG1546" t="s">
        <v>3045</v>
      </c>
      <c r="AH1546" t="s">
        <v>66</v>
      </c>
      <c r="AI1546" t="s">
        <v>66</v>
      </c>
      <c r="AJ1546" t="s">
        <v>66</v>
      </c>
      <c r="AK1546" t="s">
        <v>66</v>
      </c>
      <c r="AL1546" t="s">
        <v>66</v>
      </c>
      <c r="AM1546" s="2" t="str">
        <f>HYPERLINK("https://transparencia.cidesi.mx/comprobantes/2021/CQ2100759 /C2FA22204_CID840309UG7.pdf")</f>
        <v>https://transparencia.cidesi.mx/comprobantes/2021/CQ2100759 /C2FA22204_CID840309UG7.pdf</v>
      </c>
      <c r="AN1546" t="str">
        <f>HYPERLINK("https://transparencia.cidesi.mx/comprobantes/2021/CQ2100759 /C2FA22204_CID840309UG7.pdf")</f>
        <v>https://transparencia.cidesi.mx/comprobantes/2021/CQ2100759 /C2FA22204_CID840309UG7.pdf</v>
      </c>
      <c r="AO1546" t="s">
        <v>73</v>
      </c>
      <c r="AP1546" t="s">
        <v>3041</v>
      </c>
      <c r="AQ1546" t="s">
        <v>3042</v>
      </c>
      <c r="AR1546" t="s">
        <v>3043</v>
      </c>
      <c r="AS1546" t="s">
        <v>3044</v>
      </c>
      <c r="AT1546" s="1">
        <v>44449</v>
      </c>
      <c r="AU1546" t="s">
        <v>73</v>
      </c>
    </row>
    <row r="1547" spans="1:47" x14ac:dyDescent="0.3">
      <c r="A1547" t="s">
        <v>3033</v>
      </c>
      <c r="B1547" t="s">
        <v>2079</v>
      </c>
      <c r="C1547" t="s">
        <v>2079</v>
      </c>
      <c r="D1547">
        <v>101721</v>
      </c>
      <c r="E1547" t="s">
        <v>3034</v>
      </c>
      <c r="F1547" t="s">
        <v>3035</v>
      </c>
      <c r="G1547" t="s">
        <v>3036</v>
      </c>
      <c r="H1547" t="s">
        <v>3037</v>
      </c>
      <c r="I1547" t="s">
        <v>54</v>
      </c>
      <c r="J1547" t="s">
        <v>3038</v>
      </c>
      <c r="K1547" t="s">
        <v>56</v>
      </c>
      <c r="L1547">
        <v>0</v>
      </c>
      <c r="M1547" t="s">
        <v>73</v>
      </c>
      <c r="N1547">
        <v>0</v>
      </c>
      <c r="O1547" t="s">
        <v>58</v>
      </c>
      <c r="P1547" t="s">
        <v>59</v>
      </c>
      <c r="Q1547" t="s">
        <v>297</v>
      </c>
      <c r="R1547" t="s">
        <v>3038</v>
      </c>
      <c r="S1547" s="1">
        <v>44440</v>
      </c>
      <c r="T1547" s="1">
        <v>44442</v>
      </c>
      <c r="U1547">
        <v>37501</v>
      </c>
      <c r="V1547" t="s">
        <v>61</v>
      </c>
      <c r="W1547" t="s">
        <v>3039</v>
      </c>
      <c r="X1547" s="1">
        <v>44447</v>
      </c>
      <c r="Y1547" t="s">
        <v>207</v>
      </c>
      <c r="Z1547">
        <v>421.55</v>
      </c>
      <c r="AA1547">
        <v>16</v>
      </c>
      <c r="AB1547">
        <v>67.45</v>
      </c>
      <c r="AC1547">
        <v>49</v>
      </c>
      <c r="AD1547">
        <v>538</v>
      </c>
      <c r="AE1547">
        <v>5491.42</v>
      </c>
      <c r="AF1547">
        <v>5172</v>
      </c>
      <c r="AG1547" t="s">
        <v>3040</v>
      </c>
      <c r="AH1547" t="s">
        <v>65</v>
      </c>
      <c r="AI1547" t="s">
        <v>65</v>
      </c>
      <c r="AJ1547" t="s">
        <v>66</v>
      </c>
      <c r="AK1547" t="s">
        <v>66</v>
      </c>
      <c r="AL1547" t="s">
        <v>66</v>
      </c>
      <c r="AM1547" s="2" t="str">
        <f>HYPERLINK("https://transparencia.cidesi.mx/comprobantes/2021/CQ2100759 /C5FMYAP332337_CID840309UG7.xml")</f>
        <v>https://transparencia.cidesi.mx/comprobantes/2021/CQ2100759 /C5FMYAP332337_CID840309UG7.xml</v>
      </c>
      <c r="AN1547" t="str">
        <f>HYPERLINK("https://transparencia.cidesi.mx/comprobantes/2021/CQ2100759 /C5FMYAP332337_CID840309UG7.xml")</f>
        <v>https://transparencia.cidesi.mx/comprobantes/2021/CQ2100759 /C5FMYAP332337_CID840309UG7.xml</v>
      </c>
      <c r="AO1547" t="str">
        <f>HYPERLINK("https://transparencia.cidesi.mx/comprobantes/2021/CQ2100759 /C5FMYAP332337_CID840309UG7.xml")</f>
        <v>https://transparencia.cidesi.mx/comprobantes/2021/CQ2100759 /C5FMYAP332337_CID840309UG7.xml</v>
      </c>
      <c r="AP1547" t="s">
        <v>3041</v>
      </c>
      <c r="AQ1547" t="s">
        <v>3042</v>
      </c>
      <c r="AR1547" t="s">
        <v>3043</v>
      </c>
      <c r="AS1547" t="s">
        <v>3044</v>
      </c>
      <c r="AT1547" s="1">
        <v>44449</v>
      </c>
      <c r="AU1547" t="s">
        <v>73</v>
      </c>
    </row>
    <row r="1548" spans="1:47" x14ac:dyDescent="0.3">
      <c r="A1548" t="s">
        <v>3033</v>
      </c>
      <c r="B1548" t="s">
        <v>2079</v>
      </c>
      <c r="C1548" t="s">
        <v>2079</v>
      </c>
      <c r="D1548">
        <v>101721</v>
      </c>
      <c r="E1548" t="s">
        <v>3034</v>
      </c>
      <c r="F1548" t="s">
        <v>3035</v>
      </c>
      <c r="G1548" t="s">
        <v>3036</v>
      </c>
      <c r="H1548" t="s">
        <v>3037</v>
      </c>
      <c r="I1548" t="s">
        <v>54</v>
      </c>
      <c r="J1548" t="s">
        <v>3038</v>
      </c>
      <c r="K1548" t="s">
        <v>56</v>
      </c>
      <c r="L1548">
        <v>0</v>
      </c>
      <c r="M1548" t="s">
        <v>73</v>
      </c>
      <c r="N1548">
        <v>0</v>
      </c>
      <c r="O1548" t="s">
        <v>58</v>
      </c>
      <c r="P1548" t="s">
        <v>59</v>
      </c>
      <c r="Q1548" t="s">
        <v>297</v>
      </c>
      <c r="R1548" t="s">
        <v>3038</v>
      </c>
      <c r="S1548" s="1">
        <v>44440</v>
      </c>
      <c r="T1548" s="1">
        <v>44442</v>
      </c>
      <c r="U1548">
        <v>37501</v>
      </c>
      <c r="V1548" t="s">
        <v>534</v>
      </c>
      <c r="W1548" t="s">
        <v>3039</v>
      </c>
      <c r="X1548" s="1">
        <v>44447</v>
      </c>
      <c r="Y1548" t="s">
        <v>207</v>
      </c>
      <c r="Z1548">
        <v>380</v>
      </c>
      <c r="AA1548">
        <v>16</v>
      </c>
      <c r="AB1548">
        <v>60.8</v>
      </c>
      <c r="AC1548">
        <v>0</v>
      </c>
      <c r="AD1548">
        <v>440.8</v>
      </c>
      <c r="AE1548">
        <v>5491.42</v>
      </c>
      <c r="AF1548">
        <v>5172</v>
      </c>
      <c r="AG1548" t="s">
        <v>3046</v>
      </c>
      <c r="AH1548" t="s">
        <v>66</v>
      </c>
      <c r="AI1548" t="s">
        <v>65</v>
      </c>
      <c r="AJ1548" t="s">
        <v>66</v>
      </c>
      <c r="AK1548" t="s">
        <v>66</v>
      </c>
      <c r="AL1548" t="s">
        <v>66</v>
      </c>
      <c r="AM1548" s="2" t="str">
        <f>HYPERLINK("https://transparencia.cidesi.mx/comprobantes/2021/CQ2100759 /C6F1251_CID840309UG7.xml")</f>
        <v>https://transparencia.cidesi.mx/comprobantes/2021/CQ2100759 /C6F1251_CID840309UG7.xml</v>
      </c>
      <c r="AN1548" t="str">
        <f>HYPERLINK("https://transparencia.cidesi.mx/comprobantes/2021/CQ2100759 /C6F1251_CID840309UG7.xml")</f>
        <v>https://transparencia.cidesi.mx/comprobantes/2021/CQ2100759 /C6F1251_CID840309UG7.xml</v>
      </c>
      <c r="AO1548" t="str">
        <f>HYPERLINK("https://transparencia.cidesi.mx/comprobantes/2021/CQ2100759 /C6F1251_CID840309UG7.xml")</f>
        <v>https://transparencia.cidesi.mx/comprobantes/2021/CQ2100759 /C6F1251_CID840309UG7.xml</v>
      </c>
      <c r="AP1548" t="s">
        <v>3041</v>
      </c>
      <c r="AQ1548" t="s">
        <v>3042</v>
      </c>
      <c r="AR1548" t="s">
        <v>3043</v>
      </c>
      <c r="AS1548" t="s">
        <v>3044</v>
      </c>
      <c r="AT1548" s="1">
        <v>44449</v>
      </c>
      <c r="AU1548" t="s">
        <v>73</v>
      </c>
    </row>
    <row r="1549" spans="1:47" x14ac:dyDescent="0.3">
      <c r="A1549" t="s">
        <v>3033</v>
      </c>
      <c r="B1549" t="s">
        <v>2079</v>
      </c>
      <c r="C1549" t="s">
        <v>2079</v>
      </c>
      <c r="D1549">
        <v>101721</v>
      </c>
      <c r="E1549" t="s">
        <v>3034</v>
      </c>
      <c r="F1549" t="s">
        <v>3035</v>
      </c>
      <c r="G1549" t="s">
        <v>3036</v>
      </c>
      <c r="H1549" t="s">
        <v>3037</v>
      </c>
      <c r="I1549" t="s">
        <v>54</v>
      </c>
      <c r="J1549" t="s">
        <v>3038</v>
      </c>
      <c r="K1549" t="s">
        <v>56</v>
      </c>
      <c r="L1549">
        <v>0</v>
      </c>
      <c r="M1549" t="s">
        <v>73</v>
      </c>
      <c r="N1549">
        <v>0</v>
      </c>
      <c r="O1549" t="s">
        <v>58</v>
      </c>
      <c r="P1549" t="s">
        <v>59</v>
      </c>
      <c r="Q1549" t="s">
        <v>297</v>
      </c>
      <c r="R1549" t="s">
        <v>3038</v>
      </c>
      <c r="S1549" s="1">
        <v>44440</v>
      </c>
      <c r="T1549" s="1">
        <v>44442</v>
      </c>
      <c r="U1549">
        <v>37501</v>
      </c>
      <c r="V1549" t="s">
        <v>61</v>
      </c>
      <c r="W1549" t="s">
        <v>3039</v>
      </c>
      <c r="X1549" s="1">
        <v>44447</v>
      </c>
      <c r="Y1549" t="s">
        <v>207</v>
      </c>
      <c r="Z1549">
        <v>142.24</v>
      </c>
      <c r="AA1549">
        <v>16</v>
      </c>
      <c r="AB1549">
        <v>22.76</v>
      </c>
      <c r="AC1549">
        <v>0</v>
      </c>
      <c r="AD1549">
        <v>165</v>
      </c>
      <c r="AE1549">
        <v>5491.42</v>
      </c>
      <c r="AF1549">
        <v>5172</v>
      </c>
      <c r="AG1549" t="s">
        <v>3040</v>
      </c>
      <c r="AH1549" t="s">
        <v>65</v>
      </c>
      <c r="AI1549" t="s">
        <v>65</v>
      </c>
      <c r="AJ1549" t="s">
        <v>66</v>
      </c>
      <c r="AK1549" t="s">
        <v>66</v>
      </c>
      <c r="AL1549" t="s">
        <v>66</v>
      </c>
      <c r="AM1549" s="2" t="str">
        <f>HYPERLINK("https://transparencia.cidesi.mx/comprobantes/2021/CQ2100759 /C7FSNORE 183835_CID840309UG7.xml")</f>
        <v>https://transparencia.cidesi.mx/comprobantes/2021/CQ2100759 /C7FSNORE 183835_CID840309UG7.xml</v>
      </c>
      <c r="AN1549" t="str">
        <f>HYPERLINK("https://transparencia.cidesi.mx/comprobantes/2021/CQ2100759 /C7FSNORE 183835_CID840309UG7.xml")</f>
        <v>https://transparencia.cidesi.mx/comprobantes/2021/CQ2100759 /C7FSNORE 183835_CID840309UG7.xml</v>
      </c>
      <c r="AO1549" t="str">
        <f>HYPERLINK("https://transparencia.cidesi.mx/comprobantes/2021/CQ2100759 /C7FSNORE 183835_CID840309UG7.xml")</f>
        <v>https://transparencia.cidesi.mx/comprobantes/2021/CQ2100759 /C7FSNORE 183835_CID840309UG7.xml</v>
      </c>
      <c r="AP1549" t="s">
        <v>3041</v>
      </c>
      <c r="AQ1549" t="s">
        <v>3042</v>
      </c>
      <c r="AR1549" t="s">
        <v>3043</v>
      </c>
      <c r="AS1549" t="s">
        <v>3044</v>
      </c>
      <c r="AT1549" s="1">
        <v>44449</v>
      </c>
      <c r="AU1549" t="s">
        <v>73</v>
      </c>
    </row>
    <row r="1550" spans="1:47" x14ac:dyDescent="0.3">
      <c r="A1550" t="s">
        <v>3033</v>
      </c>
      <c r="B1550" t="s">
        <v>2079</v>
      </c>
      <c r="C1550" t="s">
        <v>2079</v>
      </c>
      <c r="D1550">
        <v>101721</v>
      </c>
      <c r="E1550" t="s">
        <v>3034</v>
      </c>
      <c r="F1550" t="s">
        <v>3035</v>
      </c>
      <c r="G1550" t="s">
        <v>3036</v>
      </c>
      <c r="H1550" t="s">
        <v>3037</v>
      </c>
      <c r="I1550" t="s">
        <v>54</v>
      </c>
      <c r="J1550" t="s">
        <v>3038</v>
      </c>
      <c r="K1550" t="s">
        <v>56</v>
      </c>
      <c r="L1550">
        <v>0</v>
      </c>
      <c r="M1550" t="s">
        <v>73</v>
      </c>
      <c r="N1550">
        <v>0</v>
      </c>
      <c r="O1550" t="s">
        <v>58</v>
      </c>
      <c r="P1550" t="s">
        <v>59</v>
      </c>
      <c r="Q1550" t="s">
        <v>297</v>
      </c>
      <c r="R1550" t="s">
        <v>3038</v>
      </c>
      <c r="S1550" s="1">
        <v>44440</v>
      </c>
      <c r="T1550" s="1">
        <v>44442</v>
      </c>
      <c r="U1550">
        <v>37501</v>
      </c>
      <c r="V1550" t="s">
        <v>104</v>
      </c>
      <c r="W1550" t="s">
        <v>3039</v>
      </c>
      <c r="X1550" s="1">
        <v>44447</v>
      </c>
      <c r="Y1550" t="s">
        <v>207</v>
      </c>
      <c r="Z1550">
        <v>2059.67</v>
      </c>
      <c r="AA1550">
        <v>16</v>
      </c>
      <c r="AB1550">
        <v>319.95</v>
      </c>
      <c r="AC1550">
        <v>0</v>
      </c>
      <c r="AD1550">
        <v>2379.62</v>
      </c>
      <c r="AE1550">
        <v>5491.42</v>
      </c>
      <c r="AF1550">
        <v>5172</v>
      </c>
      <c r="AG1550" t="s">
        <v>3047</v>
      </c>
      <c r="AH1550" t="s">
        <v>65</v>
      </c>
      <c r="AI1550" t="s">
        <v>65</v>
      </c>
      <c r="AJ1550" t="s">
        <v>66</v>
      </c>
      <c r="AK1550" t="s">
        <v>66</v>
      </c>
      <c r="AL1550" t="s">
        <v>66</v>
      </c>
      <c r="AM1550" s="2" t="str">
        <f>HYPERLINK("https://transparencia.cidesi.mx/comprobantes/2021/CQ2100759 /C8FMTYZOA - 38285_CID840309UG7.xml")</f>
        <v>https://transparencia.cidesi.mx/comprobantes/2021/CQ2100759 /C8FMTYZOA - 38285_CID840309UG7.xml</v>
      </c>
      <c r="AN1550" t="str">
        <f>HYPERLINK("https://transparencia.cidesi.mx/comprobantes/2021/CQ2100759 /C8FMTYZOA - 38285_CID840309UG7.xml")</f>
        <v>https://transparencia.cidesi.mx/comprobantes/2021/CQ2100759 /C8FMTYZOA - 38285_CID840309UG7.xml</v>
      </c>
      <c r="AO1550" t="str">
        <f>HYPERLINK("https://transparencia.cidesi.mx/comprobantes/2021/CQ2100759 /C8FMTYZOA - 38285_CID840309UG7.xml")</f>
        <v>https://transparencia.cidesi.mx/comprobantes/2021/CQ2100759 /C8FMTYZOA - 38285_CID840309UG7.xml</v>
      </c>
      <c r="AP1550" t="s">
        <v>3041</v>
      </c>
      <c r="AQ1550" t="s">
        <v>3042</v>
      </c>
      <c r="AR1550" t="s">
        <v>3043</v>
      </c>
      <c r="AS1550" t="s">
        <v>3044</v>
      </c>
      <c r="AT1550" s="1">
        <v>44449</v>
      </c>
      <c r="AU1550" t="s">
        <v>73</v>
      </c>
    </row>
    <row r="1551" spans="1:47" x14ac:dyDescent="0.3">
      <c r="A1551" t="s">
        <v>3033</v>
      </c>
      <c r="B1551" t="s">
        <v>2079</v>
      </c>
      <c r="C1551" t="s">
        <v>2079</v>
      </c>
      <c r="D1551">
        <v>101721</v>
      </c>
      <c r="E1551" t="s">
        <v>3034</v>
      </c>
      <c r="F1551" t="s">
        <v>3035</v>
      </c>
      <c r="G1551" t="s">
        <v>3036</v>
      </c>
      <c r="H1551" t="s">
        <v>3037</v>
      </c>
      <c r="I1551" t="s">
        <v>54</v>
      </c>
      <c r="J1551" t="s">
        <v>3038</v>
      </c>
      <c r="K1551" t="s">
        <v>56</v>
      </c>
      <c r="L1551">
        <v>0</v>
      </c>
      <c r="M1551" t="s">
        <v>73</v>
      </c>
      <c r="N1551">
        <v>0</v>
      </c>
      <c r="O1551" t="s">
        <v>58</v>
      </c>
      <c r="P1551" t="s">
        <v>59</v>
      </c>
      <c r="Q1551" t="s">
        <v>297</v>
      </c>
      <c r="R1551" t="s">
        <v>3038</v>
      </c>
      <c r="S1551" s="1">
        <v>44440</v>
      </c>
      <c r="T1551" s="1">
        <v>44442</v>
      </c>
      <c r="U1551">
        <v>37501</v>
      </c>
      <c r="V1551" t="s">
        <v>61</v>
      </c>
      <c r="W1551" t="s">
        <v>3039</v>
      </c>
      <c r="X1551" s="1">
        <v>44447</v>
      </c>
      <c r="Y1551" t="s">
        <v>207</v>
      </c>
      <c r="Z1551">
        <v>458.62</v>
      </c>
      <c r="AA1551">
        <v>16</v>
      </c>
      <c r="AB1551">
        <v>73.38</v>
      </c>
      <c r="AC1551">
        <v>53.25</v>
      </c>
      <c r="AD1551">
        <v>585.25</v>
      </c>
      <c r="AE1551">
        <v>5491.42</v>
      </c>
      <c r="AF1551">
        <v>5172</v>
      </c>
      <c r="AG1551" t="s">
        <v>3040</v>
      </c>
      <c r="AH1551" t="s">
        <v>65</v>
      </c>
      <c r="AI1551" t="s">
        <v>65</v>
      </c>
      <c r="AJ1551" t="s">
        <v>66</v>
      </c>
      <c r="AK1551" t="s">
        <v>66</v>
      </c>
      <c r="AL1551" t="s">
        <v>66</v>
      </c>
      <c r="AM1551" s="2" t="str">
        <f>HYPERLINK("https://transparencia.cidesi.mx/comprobantes/2021/CQ2100759 /C9FB5929795708C_CID840309UG7.xml")</f>
        <v>https://transparencia.cidesi.mx/comprobantes/2021/CQ2100759 /C9FB5929795708C_CID840309UG7.xml</v>
      </c>
      <c r="AN1551" t="str">
        <f>HYPERLINK("https://transparencia.cidesi.mx/comprobantes/2021/CQ2100759 /C9FB5929795708C_CID840309UG7.xml")</f>
        <v>https://transparencia.cidesi.mx/comprobantes/2021/CQ2100759 /C9FB5929795708C_CID840309UG7.xml</v>
      </c>
      <c r="AO1551" t="str">
        <f>HYPERLINK("https://transparencia.cidesi.mx/comprobantes/2021/CQ2100759 /C9FB5929795708C_CID840309UG7.xml")</f>
        <v>https://transparencia.cidesi.mx/comprobantes/2021/CQ2100759 /C9FB5929795708C_CID840309UG7.xml</v>
      </c>
      <c r="AP1551" t="s">
        <v>3041</v>
      </c>
      <c r="AQ1551" t="s">
        <v>3042</v>
      </c>
      <c r="AR1551" t="s">
        <v>3043</v>
      </c>
      <c r="AS1551" t="s">
        <v>3044</v>
      </c>
      <c r="AT1551" s="1">
        <v>44449</v>
      </c>
      <c r="AU1551" t="s">
        <v>73</v>
      </c>
    </row>
    <row r="1552" spans="1:47" x14ac:dyDescent="0.3">
      <c r="A1552" t="s">
        <v>3033</v>
      </c>
      <c r="B1552" t="s">
        <v>2079</v>
      </c>
      <c r="C1552" t="s">
        <v>2079</v>
      </c>
      <c r="D1552">
        <v>101721</v>
      </c>
      <c r="E1552" t="s">
        <v>3034</v>
      </c>
      <c r="F1552" t="s">
        <v>3035</v>
      </c>
      <c r="G1552" t="s">
        <v>3036</v>
      </c>
      <c r="H1552" t="s">
        <v>3048</v>
      </c>
      <c r="I1552" t="s">
        <v>54</v>
      </c>
      <c r="J1552" t="s">
        <v>3038</v>
      </c>
      <c r="K1552" t="s">
        <v>56</v>
      </c>
      <c r="L1552">
        <v>0</v>
      </c>
      <c r="M1552" t="s">
        <v>73</v>
      </c>
      <c r="N1552">
        <v>0</v>
      </c>
      <c r="O1552" t="s">
        <v>58</v>
      </c>
      <c r="P1552" t="s">
        <v>59</v>
      </c>
      <c r="Q1552" t="s">
        <v>189</v>
      </c>
      <c r="R1552" t="s">
        <v>3038</v>
      </c>
      <c r="S1552" s="1">
        <v>44440</v>
      </c>
      <c r="T1552" s="1">
        <v>44440</v>
      </c>
      <c r="U1552">
        <v>37104</v>
      </c>
      <c r="V1552" t="s">
        <v>471</v>
      </c>
      <c r="W1552" t="s">
        <v>3049</v>
      </c>
      <c r="X1552" s="1">
        <v>44445</v>
      </c>
      <c r="Y1552" t="s">
        <v>207</v>
      </c>
      <c r="Z1552">
        <v>3918.86</v>
      </c>
      <c r="AA1552">
        <v>16</v>
      </c>
      <c r="AB1552">
        <v>448.14</v>
      </c>
      <c r="AC1552">
        <v>0</v>
      </c>
      <c r="AD1552">
        <v>4367</v>
      </c>
      <c r="AE1552">
        <v>4367</v>
      </c>
      <c r="AF1552">
        <v>0</v>
      </c>
      <c r="AG1552" t="s">
        <v>3050</v>
      </c>
      <c r="AH1552" t="s">
        <v>66</v>
      </c>
      <c r="AI1552" t="s">
        <v>65</v>
      </c>
      <c r="AJ1552" t="s">
        <v>66</v>
      </c>
      <c r="AK1552" t="s">
        <v>66</v>
      </c>
      <c r="AL1552" t="s">
        <v>66</v>
      </c>
      <c r="AM1552" s="2" t="str">
        <f>HYPERLINK("https://transparencia.cidesi.mx/comprobantes/2021/CAQ210035 /C1F3AE05C18ACBB_CID840309UG7.xml")</f>
        <v>https://transparencia.cidesi.mx/comprobantes/2021/CAQ210035 /C1F3AE05C18ACBB_CID840309UG7.xml</v>
      </c>
      <c r="AN1552" t="str">
        <f>HYPERLINK("https://transparencia.cidesi.mx/comprobantes/2021/CAQ210035 /C1F3AE05C18ACBB_CID840309UG7.xml")</f>
        <v>https://transparencia.cidesi.mx/comprobantes/2021/CAQ210035 /C1F3AE05C18ACBB_CID840309UG7.xml</v>
      </c>
      <c r="AO1552" t="str">
        <f>HYPERLINK("https://transparencia.cidesi.mx/comprobantes/2021/CAQ210035 /C1F3AE05C18ACBB_CID840309UG7.xml")</f>
        <v>https://transparencia.cidesi.mx/comprobantes/2021/CAQ210035 /C1F3AE05C18ACBB_CID840309UG7.xml</v>
      </c>
      <c r="AP1552" t="s">
        <v>3051</v>
      </c>
      <c r="AQ1552" t="s">
        <v>3042</v>
      </c>
      <c r="AR1552" t="s">
        <v>3043</v>
      </c>
      <c r="AS1552" t="s">
        <v>3044</v>
      </c>
      <c r="AT1552" s="1">
        <v>44453</v>
      </c>
      <c r="AU1552" t="s">
        <v>73</v>
      </c>
    </row>
    <row r="1553" spans="1:47" x14ac:dyDescent="0.3">
      <c r="A1553" t="s">
        <v>3052</v>
      </c>
      <c r="B1553" t="s">
        <v>80</v>
      </c>
      <c r="C1553" t="s">
        <v>198</v>
      </c>
      <c r="D1553">
        <v>101751</v>
      </c>
      <c r="E1553" t="s">
        <v>3053</v>
      </c>
      <c r="F1553" t="s">
        <v>3054</v>
      </c>
      <c r="G1553" t="s">
        <v>3055</v>
      </c>
      <c r="H1553" t="s">
        <v>3056</v>
      </c>
      <c r="I1553" t="s">
        <v>54</v>
      </c>
      <c r="J1553" t="s">
        <v>3057</v>
      </c>
      <c r="K1553" t="s">
        <v>56</v>
      </c>
      <c r="L1553">
        <v>100210</v>
      </c>
      <c r="M1553" t="s">
        <v>205</v>
      </c>
      <c r="N1553">
        <v>0</v>
      </c>
      <c r="O1553" t="s">
        <v>58</v>
      </c>
      <c r="P1553" t="s">
        <v>59</v>
      </c>
      <c r="Q1553" t="s">
        <v>297</v>
      </c>
      <c r="R1553" t="s">
        <v>3057</v>
      </c>
      <c r="S1553" s="1">
        <v>44458</v>
      </c>
      <c r="T1553" s="1">
        <v>44460</v>
      </c>
      <c r="U1553">
        <v>37501</v>
      </c>
      <c r="V1553" t="s">
        <v>61</v>
      </c>
      <c r="W1553" t="s">
        <v>3058</v>
      </c>
      <c r="X1553" s="1">
        <v>44466</v>
      </c>
      <c r="Y1553" t="s">
        <v>63</v>
      </c>
      <c r="Z1553">
        <v>517.24</v>
      </c>
      <c r="AA1553">
        <v>16</v>
      </c>
      <c r="AB1553">
        <v>82.76</v>
      </c>
      <c r="AC1553">
        <v>60</v>
      </c>
      <c r="AD1553">
        <v>660</v>
      </c>
      <c r="AE1553">
        <v>4452.13</v>
      </c>
      <c r="AF1553">
        <v>5172</v>
      </c>
      <c r="AG1553" t="s">
        <v>3059</v>
      </c>
      <c r="AH1553" t="s">
        <v>65</v>
      </c>
      <c r="AI1553" t="s">
        <v>65</v>
      </c>
      <c r="AJ1553" t="s">
        <v>66</v>
      </c>
      <c r="AK1553" t="s">
        <v>66</v>
      </c>
      <c r="AL1553" t="s">
        <v>66</v>
      </c>
      <c r="AM1553" s="2" t="str">
        <f>HYPERLINK("https://transparencia.cidesi.mx/comprobantes/2021/CQ2100897 /C1111591_RFA140624NW0.pdf")</f>
        <v>https://transparencia.cidesi.mx/comprobantes/2021/CQ2100897 /C1111591_RFA140624NW0.pdf</v>
      </c>
      <c r="AN1553" t="str">
        <f>HYPERLINK("https://transparencia.cidesi.mx/comprobantes/2021/CQ2100897 /C1111591_RFA140624NW0.pdf")</f>
        <v>https://transparencia.cidesi.mx/comprobantes/2021/CQ2100897 /C1111591_RFA140624NW0.pdf</v>
      </c>
      <c r="AO1553" t="str">
        <f>HYPERLINK("https://transparencia.cidesi.mx/comprobantes/2021/CQ2100897 /C1111591_RFA140624NW0.xml")</f>
        <v>https://transparencia.cidesi.mx/comprobantes/2021/CQ2100897 /C1111591_RFA140624NW0.xml</v>
      </c>
      <c r="AP1553" t="s">
        <v>3060</v>
      </c>
      <c r="AQ1553" t="s">
        <v>3061</v>
      </c>
      <c r="AR1553" t="s">
        <v>3062</v>
      </c>
      <c r="AS1553" t="s">
        <v>3063</v>
      </c>
      <c r="AT1553" s="1">
        <v>44468</v>
      </c>
      <c r="AU1553" s="1">
        <v>44470</v>
      </c>
    </row>
    <row r="1554" spans="1:47" x14ac:dyDescent="0.3">
      <c r="A1554" t="s">
        <v>3052</v>
      </c>
      <c r="B1554" t="s">
        <v>80</v>
      </c>
      <c r="C1554" t="s">
        <v>198</v>
      </c>
      <c r="D1554">
        <v>101751</v>
      </c>
      <c r="E1554" t="s">
        <v>3053</v>
      </c>
      <c r="F1554" t="s">
        <v>3054</v>
      </c>
      <c r="G1554" t="s">
        <v>3055</v>
      </c>
      <c r="H1554" t="s">
        <v>3056</v>
      </c>
      <c r="I1554" t="s">
        <v>54</v>
      </c>
      <c r="J1554" t="s">
        <v>3057</v>
      </c>
      <c r="K1554" t="s">
        <v>56</v>
      </c>
      <c r="L1554">
        <v>100210</v>
      </c>
      <c r="M1554" t="s">
        <v>205</v>
      </c>
      <c r="N1554">
        <v>0</v>
      </c>
      <c r="O1554" t="s">
        <v>58</v>
      </c>
      <c r="P1554" t="s">
        <v>59</v>
      </c>
      <c r="Q1554" t="s">
        <v>297</v>
      </c>
      <c r="R1554" t="s">
        <v>3057</v>
      </c>
      <c r="S1554" s="1">
        <v>44458</v>
      </c>
      <c r="T1554" s="1">
        <v>44460</v>
      </c>
      <c r="U1554">
        <v>37501</v>
      </c>
      <c r="V1554" t="s">
        <v>104</v>
      </c>
      <c r="W1554" t="s">
        <v>3058</v>
      </c>
      <c r="X1554" s="1">
        <v>44466</v>
      </c>
      <c r="Y1554" t="s">
        <v>63</v>
      </c>
      <c r="Z1554">
        <v>899.93</v>
      </c>
      <c r="AA1554">
        <v>16</v>
      </c>
      <c r="AB1554">
        <v>143.99</v>
      </c>
      <c r="AC1554">
        <v>27</v>
      </c>
      <c r="AD1554">
        <v>1070.92</v>
      </c>
      <c r="AE1554">
        <v>4452.13</v>
      </c>
      <c r="AF1554">
        <v>5172</v>
      </c>
      <c r="AG1554" t="s">
        <v>3064</v>
      </c>
      <c r="AH1554" t="s">
        <v>65</v>
      </c>
      <c r="AI1554" t="s">
        <v>65</v>
      </c>
      <c r="AJ1554" t="s">
        <v>66</v>
      </c>
      <c r="AK1554" t="s">
        <v>66</v>
      </c>
      <c r="AL1554" t="s">
        <v>66</v>
      </c>
      <c r="AM1554" s="2" t="str">
        <f>HYPERLINK("https://transparencia.cidesi.mx/comprobantes/2021/CQ2100897 /C245742_HSC0010193M7.pdf")</f>
        <v>https://transparencia.cidesi.mx/comprobantes/2021/CQ2100897 /C245742_HSC0010193M7.pdf</v>
      </c>
      <c r="AN1554" t="str">
        <f>HYPERLINK("https://transparencia.cidesi.mx/comprobantes/2021/CQ2100897 /C245742_HSC0010193M7.pdf")</f>
        <v>https://transparencia.cidesi.mx/comprobantes/2021/CQ2100897 /C245742_HSC0010193M7.pdf</v>
      </c>
      <c r="AO1554" t="str">
        <f>HYPERLINK("https://transparencia.cidesi.mx/comprobantes/2021/CQ2100897 /C245742_HSC0010193M7.xml")</f>
        <v>https://transparencia.cidesi.mx/comprobantes/2021/CQ2100897 /C245742_HSC0010193M7.xml</v>
      </c>
      <c r="AP1554" t="s">
        <v>3060</v>
      </c>
      <c r="AQ1554" t="s">
        <v>3061</v>
      </c>
      <c r="AR1554" t="s">
        <v>3062</v>
      </c>
      <c r="AS1554" t="s">
        <v>3063</v>
      </c>
      <c r="AT1554" s="1">
        <v>44468</v>
      </c>
      <c r="AU1554" s="1">
        <v>44470</v>
      </c>
    </row>
    <row r="1555" spans="1:47" x14ac:dyDescent="0.3">
      <c r="A1555" t="s">
        <v>3052</v>
      </c>
      <c r="B1555" t="s">
        <v>80</v>
      </c>
      <c r="C1555" t="s">
        <v>198</v>
      </c>
      <c r="D1555">
        <v>101751</v>
      </c>
      <c r="E1555" t="s">
        <v>3053</v>
      </c>
      <c r="F1555" t="s">
        <v>3054</v>
      </c>
      <c r="G1555" t="s">
        <v>3055</v>
      </c>
      <c r="H1555" t="s">
        <v>3056</v>
      </c>
      <c r="I1555" t="s">
        <v>54</v>
      </c>
      <c r="J1555" t="s">
        <v>3057</v>
      </c>
      <c r="K1555" t="s">
        <v>56</v>
      </c>
      <c r="L1555">
        <v>100210</v>
      </c>
      <c r="M1555" t="s">
        <v>205</v>
      </c>
      <c r="N1555">
        <v>0</v>
      </c>
      <c r="O1555" t="s">
        <v>58</v>
      </c>
      <c r="P1555" t="s">
        <v>59</v>
      </c>
      <c r="Q1555" t="s">
        <v>297</v>
      </c>
      <c r="R1555" t="s">
        <v>3057</v>
      </c>
      <c r="S1555" s="1">
        <v>44458</v>
      </c>
      <c r="T1555" s="1">
        <v>44460</v>
      </c>
      <c r="U1555">
        <v>37501</v>
      </c>
      <c r="V1555" t="s">
        <v>61</v>
      </c>
      <c r="W1555" t="s">
        <v>3058</v>
      </c>
      <c r="X1555" s="1">
        <v>44466</v>
      </c>
      <c r="Y1555" t="s">
        <v>63</v>
      </c>
      <c r="Z1555">
        <v>733.62</v>
      </c>
      <c r="AA1555">
        <v>16</v>
      </c>
      <c r="AB1555">
        <v>117.38</v>
      </c>
      <c r="AC1555">
        <v>0</v>
      </c>
      <c r="AD1555">
        <v>851</v>
      </c>
      <c r="AE1555">
        <v>4452.13</v>
      </c>
      <c r="AF1555">
        <v>5172</v>
      </c>
      <c r="AG1555" t="s">
        <v>3059</v>
      </c>
      <c r="AH1555" t="s">
        <v>65</v>
      </c>
      <c r="AI1555" t="s">
        <v>65</v>
      </c>
      <c r="AJ1555" t="s">
        <v>66</v>
      </c>
      <c r="AK1555" t="s">
        <v>66</v>
      </c>
      <c r="AL1555" t="s">
        <v>66</v>
      </c>
      <c r="AM1555" s="2" t="str">
        <f>HYPERLINK("https://transparencia.cidesi.mx/comprobantes/2021/CQ2100897 /C342557_QUZL400211Q66.pdf")</f>
        <v>https://transparencia.cidesi.mx/comprobantes/2021/CQ2100897 /C342557_QUZL400211Q66.pdf</v>
      </c>
      <c r="AN1555" t="str">
        <f>HYPERLINK("https://transparencia.cidesi.mx/comprobantes/2021/CQ2100897 /C342557_QUZL400211Q66.pdf")</f>
        <v>https://transparencia.cidesi.mx/comprobantes/2021/CQ2100897 /C342557_QUZL400211Q66.pdf</v>
      </c>
      <c r="AO1555" t="str">
        <f>HYPERLINK("https://transparencia.cidesi.mx/comprobantes/2021/CQ2100897 /C342557_QUZL400211Q66.xml")</f>
        <v>https://transparencia.cidesi.mx/comprobantes/2021/CQ2100897 /C342557_QUZL400211Q66.xml</v>
      </c>
      <c r="AP1555" t="s">
        <v>3060</v>
      </c>
      <c r="AQ1555" t="s">
        <v>3061</v>
      </c>
      <c r="AR1555" t="s">
        <v>3062</v>
      </c>
      <c r="AS1555" t="s">
        <v>3063</v>
      </c>
      <c r="AT1555" s="1">
        <v>44468</v>
      </c>
      <c r="AU1555" s="1">
        <v>44470</v>
      </c>
    </row>
    <row r="1556" spans="1:47" x14ac:dyDescent="0.3">
      <c r="A1556" t="s">
        <v>3052</v>
      </c>
      <c r="B1556" t="s">
        <v>80</v>
      </c>
      <c r="C1556" t="s">
        <v>198</v>
      </c>
      <c r="D1556">
        <v>101751</v>
      </c>
      <c r="E1556" t="s">
        <v>3053</v>
      </c>
      <c r="F1556" t="s">
        <v>3054</v>
      </c>
      <c r="G1556" t="s">
        <v>3055</v>
      </c>
      <c r="H1556" t="s">
        <v>3056</v>
      </c>
      <c r="I1556" t="s">
        <v>54</v>
      </c>
      <c r="J1556" t="s">
        <v>3057</v>
      </c>
      <c r="K1556" t="s">
        <v>56</v>
      </c>
      <c r="L1556">
        <v>100210</v>
      </c>
      <c r="M1556" t="s">
        <v>205</v>
      </c>
      <c r="N1556">
        <v>0</v>
      </c>
      <c r="O1556" t="s">
        <v>58</v>
      </c>
      <c r="P1556" t="s">
        <v>59</v>
      </c>
      <c r="Q1556" t="s">
        <v>297</v>
      </c>
      <c r="R1556" t="s">
        <v>3057</v>
      </c>
      <c r="S1556" s="1">
        <v>44458</v>
      </c>
      <c r="T1556" s="1">
        <v>44460</v>
      </c>
      <c r="U1556">
        <v>37501</v>
      </c>
      <c r="V1556" t="s">
        <v>61</v>
      </c>
      <c r="W1556" t="s">
        <v>3058</v>
      </c>
      <c r="X1556" s="1">
        <v>44466</v>
      </c>
      <c r="Y1556" t="s">
        <v>63</v>
      </c>
      <c r="Z1556">
        <v>252.87</v>
      </c>
      <c r="AA1556">
        <v>16</v>
      </c>
      <c r="AB1556">
        <v>40.46</v>
      </c>
      <c r="AC1556">
        <v>29.33</v>
      </c>
      <c r="AD1556">
        <v>322.66000000000003</v>
      </c>
      <c r="AE1556">
        <v>4452.13</v>
      </c>
      <c r="AF1556">
        <v>5172</v>
      </c>
      <c r="AG1556" t="s">
        <v>3059</v>
      </c>
      <c r="AH1556" t="s">
        <v>65</v>
      </c>
      <c r="AI1556" t="s">
        <v>65</v>
      </c>
      <c r="AJ1556" t="s">
        <v>66</v>
      </c>
      <c r="AK1556" t="s">
        <v>66</v>
      </c>
      <c r="AL1556" t="s">
        <v>66</v>
      </c>
      <c r="AM1556" s="2" t="str">
        <f>HYPERLINK("https://transparencia.cidesi.mx/comprobantes/2021/CQ2100897 /C4A77970_ITU560928MS0.pdf")</f>
        <v>https://transparencia.cidesi.mx/comprobantes/2021/CQ2100897 /C4A77970_ITU560928MS0.pdf</v>
      </c>
      <c r="AN1556" t="str">
        <f>HYPERLINK("https://transparencia.cidesi.mx/comprobantes/2021/CQ2100897 /C4A77970_ITU560928MS0.pdf")</f>
        <v>https://transparencia.cidesi.mx/comprobantes/2021/CQ2100897 /C4A77970_ITU560928MS0.pdf</v>
      </c>
      <c r="AO1556" t="str">
        <f>HYPERLINK("https://transparencia.cidesi.mx/comprobantes/2021/CQ2100897 /C4A77970_ITU560928MS0.xml")</f>
        <v>https://transparencia.cidesi.mx/comprobantes/2021/CQ2100897 /C4A77970_ITU560928MS0.xml</v>
      </c>
      <c r="AP1556" t="s">
        <v>3060</v>
      </c>
      <c r="AQ1556" t="s">
        <v>3061</v>
      </c>
      <c r="AR1556" t="s">
        <v>3062</v>
      </c>
      <c r="AS1556" t="s">
        <v>3063</v>
      </c>
      <c r="AT1556" s="1">
        <v>44468</v>
      </c>
      <c r="AU1556" s="1">
        <v>44470</v>
      </c>
    </row>
    <row r="1557" spans="1:47" x14ac:dyDescent="0.3">
      <c r="A1557" t="s">
        <v>3052</v>
      </c>
      <c r="B1557" t="s">
        <v>80</v>
      </c>
      <c r="C1557" t="s">
        <v>198</v>
      </c>
      <c r="D1557">
        <v>101751</v>
      </c>
      <c r="E1557" t="s">
        <v>3053</v>
      </c>
      <c r="F1557" t="s">
        <v>3054</v>
      </c>
      <c r="G1557" t="s">
        <v>3055</v>
      </c>
      <c r="H1557" t="s">
        <v>3056</v>
      </c>
      <c r="I1557" t="s">
        <v>54</v>
      </c>
      <c r="J1557" t="s">
        <v>3057</v>
      </c>
      <c r="K1557" t="s">
        <v>56</v>
      </c>
      <c r="L1557">
        <v>100210</v>
      </c>
      <c r="M1557" t="s">
        <v>205</v>
      </c>
      <c r="N1557">
        <v>0</v>
      </c>
      <c r="O1557" t="s">
        <v>58</v>
      </c>
      <c r="P1557" t="s">
        <v>59</v>
      </c>
      <c r="Q1557" t="s">
        <v>297</v>
      </c>
      <c r="R1557" t="s">
        <v>3057</v>
      </c>
      <c r="S1557" s="1">
        <v>44458</v>
      </c>
      <c r="T1557" s="1">
        <v>44460</v>
      </c>
      <c r="U1557">
        <v>37501</v>
      </c>
      <c r="V1557" t="s">
        <v>61</v>
      </c>
      <c r="W1557" t="s">
        <v>3058</v>
      </c>
      <c r="X1557" s="1">
        <v>44466</v>
      </c>
      <c r="Y1557" t="s">
        <v>63</v>
      </c>
      <c r="Z1557">
        <v>364.65</v>
      </c>
      <c r="AA1557">
        <v>16</v>
      </c>
      <c r="AB1557">
        <v>58.35</v>
      </c>
      <c r="AC1557">
        <v>0</v>
      </c>
      <c r="AD1557">
        <v>423</v>
      </c>
      <c r="AE1557">
        <v>4452.13</v>
      </c>
      <c r="AF1557">
        <v>5172</v>
      </c>
      <c r="AG1557" t="s">
        <v>3059</v>
      </c>
      <c r="AH1557" t="s">
        <v>65</v>
      </c>
      <c r="AI1557" t="s">
        <v>65</v>
      </c>
      <c r="AJ1557" t="s">
        <v>66</v>
      </c>
      <c r="AK1557" t="s">
        <v>66</v>
      </c>
      <c r="AL1557" t="s">
        <v>66</v>
      </c>
      <c r="AM1557" s="2" t="str">
        <f>HYPERLINK("https://transparencia.cidesi.mx/comprobantes/2021/CQ2100897 /C5B16162_GAL180827321.pdf")</f>
        <v>https://transparencia.cidesi.mx/comprobantes/2021/CQ2100897 /C5B16162_GAL180827321.pdf</v>
      </c>
      <c r="AN1557" t="str">
        <f>HYPERLINK("https://transparencia.cidesi.mx/comprobantes/2021/CQ2100897 /C5B16162_GAL180827321.pdf")</f>
        <v>https://transparencia.cidesi.mx/comprobantes/2021/CQ2100897 /C5B16162_GAL180827321.pdf</v>
      </c>
      <c r="AO1557" t="str">
        <f>HYPERLINK("https://transparencia.cidesi.mx/comprobantes/2021/CQ2100897 /C5B16162_GAL180827321.xml")</f>
        <v>https://transparencia.cidesi.mx/comprobantes/2021/CQ2100897 /C5B16162_GAL180827321.xml</v>
      </c>
      <c r="AP1557" t="s">
        <v>3060</v>
      </c>
      <c r="AQ1557" t="s">
        <v>3061</v>
      </c>
      <c r="AR1557" t="s">
        <v>3062</v>
      </c>
      <c r="AS1557" t="s">
        <v>3063</v>
      </c>
      <c r="AT1557" s="1">
        <v>44468</v>
      </c>
      <c r="AU1557" s="1">
        <v>44470</v>
      </c>
    </row>
    <row r="1558" spans="1:47" x14ac:dyDescent="0.3">
      <c r="A1558" t="s">
        <v>3052</v>
      </c>
      <c r="B1558" t="s">
        <v>80</v>
      </c>
      <c r="C1558" t="s">
        <v>198</v>
      </c>
      <c r="D1558">
        <v>101751</v>
      </c>
      <c r="E1558" t="s">
        <v>3053</v>
      </c>
      <c r="F1558" t="s">
        <v>3054</v>
      </c>
      <c r="G1558" t="s">
        <v>3055</v>
      </c>
      <c r="H1558" t="s">
        <v>3056</v>
      </c>
      <c r="I1558" t="s">
        <v>54</v>
      </c>
      <c r="J1558" t="s">
        <v>3057</v>
      </c>
      <c r="K1558" t="s">
        <v>56</v>
      </c>
      <c r="L1558">
        <v>100210</v>
      </c>
      <c r="M1558" t="s">
        <v>205</v>
      </c>
      <c r="N1558">
        <v>0</v>
      </c>
      <c r="O1558" t="s">
        <v>58</v>
      </c>
      <c r="P1558" t="s">
        <v>59</v>
      </c>
      <c r="Q1558" t="s">
        <v>297</v>
      </c>
      <c r="R1558" t="s">
        <v>3057</v>
      </c>
      <c r="S1558" s="1">
        <v>44458</v>
      </c>
      <c r="T1558" s="1">
        <v>44460</v>
      </c>
      <c r="U1558">
        <v>37501</v>
      </c>
      <c r="V1558" t="s">
        <v>104</v>
      </c>
      <c r="W1558" t="s">
        <v>3058</v>
      </c>
      <c r="X1558" s="1">
        <v>44466</v>
      </c>
      <c r="Y1558" t="s">
        <v>63</v>
      </c>
      <c r="Z1558">
        <v>945</v>
      </c>
      <c r="AA1558">
        <v>16</v>
      </c>
      <c r="AB1558">
        <v>151.19999999999999</v>
      </c>
      <c r="AC1558">
        <v>28.35</v>
      </c>
      <c r="AD1558">
        <v>1124.55</v>
      </c>
      <c r="AE1558">
        <v>4452.13</v>
      </c>
      <c r="AF1558">
        <v>5172</v>
      </c>
      <c r="AG1558" t="s">
        <v>3064</v>
      </c>
      <c r="AH1558" t="s">
        <v>65</v>
      </c>
      <c r="AI1558" t="s">
        <v>65</v>
      </c>
      <c r="AJ1558" t="s">
        <v>66</v>
      </c>
      <c r="AK1558" t="s">
        <v>66</v>
      </c>
      <c r="AL1558" t="s">
        <v>66</v>
      </c>
      <c r="AM1558" s="2" t="str">
        <f>HYPERLINK("https://transparencia.cidesi.mx/comprobantes/2021/CQ2100897 /C6B80952_ITU560928MS0.pdf")</f>
        <v>https://transparencia.cidesi.mx/comprobantes/2021/CQ2100897 /C6B80952_ITU560928MS0.pdf</v>
      </c>
      <c r="AN1558" t="str">
        <f>HYPERLINK("https://transparencia.cidesi.mx/comprobantes/2021/CQ2100897 /C6B80952_ITU560928MS0.pdf")</f>
        <v>https://transparencia.cidesi.mx/comprobantes/2021/CQ2100897 /C6B80952_ITU560928MS0.pdf</v>
      </c>
      <c r="AO1558" t="str">
        <f>HYPERLINK("https://transparencia.cidesi.mx/comprobantes/2021/CQ2100897 /C6B80952_ITU560928MS0.xml")</f>
        <v>https://transparencia.cidesi.mx/comprobantes/2021/CQ2100897 /C6B80952_ITU560928MS0.xml</v>
      </c>
      <c r="AP1558" t="s">
        <v>3060</v>
      </c>
      <c r="AQ1558" t="s">
        <v>3061</v>
      </c>
      <c r="AR1558" t="s">
        <v>3062</v>
      </c>
      <c r="AS1558" t="s">
        <v>3063</v>
      </c>
      <c r="AT1558" s="1">
        <v>44468</v>
      </c>
      <c r="AU1558" s="1">
        <v>44470</v>
      </c>
    </row>
    <row r="1559" spans="1:47" x14ac:dyDescent="0.3">
      <c r="A1559" t="s">
        <v>3052</v>
      </c>
      <c r="B1559" t="s">
        <v>80</v>
      </c>
      <c r="C1559" t="s">
        <v>198</v>
      </c>
      <c r="D1559">
        <v>101751</v>
      </c>
      <c r="E1559" t="s">
        <v>3053</v>
      </c>
      <c r="F1559" t="s">
        <v>3054</v>
      </c>
      <c r="G1559" t="s">
        <v>3055</v>
      </c>
      <c r="H1559" t="s">
        <v>3065</v>
      </c>
      <c r="I1559" t="s">
        <v>54</v>
      </c>
      <c r="J1559" t="s">
        <v>3066</v>
      </c>
      <c r="K1559" t="s">
        <v>56</v>
      </c>
      <c r="L1559">
        <v>0</v>
      </c>
      <c r="M1559" t="s">
        <v>73</v>
      </c>
      <c r="N1559">
        <v>0</v>
      </c>
      <c r="O1559" t="s">
        <v>58</v>
      </c>
      <c r="P1559" t="s">
        <v>59</v>
      </c>
      <c r="Q1559" t="s">
        <v>60</v>
      </c>
      <c r="R1559" t="s">
        <v>3066</v>
      </c>
      <c r="S1559" s="1">
        <v>44468</v>
      </c>
      <c r="T1559" s="1">
        <v>44468</v>
      </c>
      <c r="U1559">
        <v>37501</v>
      </c>
      <c r="V1559" t="s">
        <v>61</v>
      </c>
      <c r="W1559" t="s">
        <v>3067</v>
      </c>
      <c r="X1559" s="1">
        <v>44474</v>
      </c>
      <c r="Y1559" t="s">
        <v>207</v>
      </c>
      <c r="Z1559">
        <v>385.34</v>
      </c>
      <c r="AA1559">
        <v>16</v>
      </c>
      <c r="AB1559">
        <v>61.66</v>
      </c>
      <c r="AC1559">
        <v>0</v>
      </c>
      <c r="AD1559">
        <v>447</v>
      </c>
      <c r="AE1559">
        <v>447</v>
      </c>
      <c r="AF1559">
        <v>545</v>
      </c>
      <c r="AG1559" t="s">
        <v>3059</v>
      </c>
      <c r="AH1559" t="s">
        <v>65</v>
      </c>
      <c r="AI1559" t="s">
        <v>65</v>
      </c>
      <c r="AJ1559" t="s">
        <v>66</v>
      </c>
      <c r="AK1559" t="s">
        <v>66</v>
      </c>
      <c r="AL1559" t="s">
        <v>66</v>
      </c>
      <c r="AM1559" s="2" t="str">
        <f>HYPERLINK("https://transparencia.cidesi.mx/comprobantes/2021/CQ2100945 /C161991_GAS9404199I6.pdf")</f>
        <v>https://transparencia.cidesi.mx/comprobantes/2021/CQ2100945 /C161991_GAS9404199I6.pdf</v>
      </c>
      <c r="AN1559" t="str">
        <f>HYPERLINK("https://transparencia.cidesi.mx/comprobantes/2021/CQ2100945 /C161991_GAS9404199I6.pdf")</f>
        <v>https://transparencia.cidesi.mx/comprobantes/2021/CQ2100945 /C161991_GAS9404199I6.pdf</v>
      </c>
      <c r="AO1559" t="str">
        <f>HYPERLINK("https://transparencia.cidesi.mx/comprobantes/2021/CQ2100945 /C161991_GAS9404199I6.xml")</f>
        <v>https://transparencia.cidesi.mx/comprobantes/2021/CQ2100945 /C161991_GAS9404199I6.xml</v>
      </c>
      <c r="AP1559" t="s">
        <v>3068</v>
      </c>
      <c r="AQ1559" t="s">
        <v>3069</v>
      </c>
      <c r="AR1559" t="s">
        <v>3070</v>
      </c>
      <c r="AS1559" t="s">
        <v>3071</v>
      </c>
      <c r="AT1559" s="1">
        <v>44476</v>
      </c>
      <c r="AU1559" t="s">
        <v>73</v>
      </c>
    </row>
    <row r="1560" spans="1:47" x14ac:dyDescent="0.3">
      <c r="A1560" t="s">
        <v>3072</v>
      </c>
      <c r="B1560" t="s">
        <v>3073</v>
      </c>
      <c r="C1560" t="s">
        <v>3073</v>
      </c>
      <c r="D1560">
        <v>101757</v>
      </c>
      <c r="E1560" t="s">
        <v>3074</v>
      </c>
      <c r="F1560" t="s">
        <v>912</v>
      </c>
      <c r="G1560" t="s">
        <v>352</v>
      </c>
      <c r="H1560" t="s">
        <v>3075</v>
      </c>
      <c r="I1560" t="s">
        <v>54</v>
      </c>
      <c r="J1560" t="s">
        <v>3076</v>
      </c>
      <c r="K1560" t="s">
        <v>56</v>
      </c>
      <c r="L1560">
        <v>0</v>
      </c>
      <c r="M1560" t="s">
        <v>73</v>
      </c>
      <c r="N1560">
        <v>0</v>
      </c>
      <c r="O1560" t="s">
        <v>58</v>
      </c>
      <c r="P1560" t="s">
        <v>59</v>
      </c>
      <c r="Q1560" t="s">
        <v>60</v>
      </c>
      <c r="R1560" t="s">
        <v>3076</v>
      </c>
      <c r="S1560" s="1">
        <v>44405</v>
      </c>
      <c r="T1560" s="1">
        <v>44406</v>
      </c>
      <c r="U1560">
        <v>37501</v>
      </c>
      <c r="V1560" t="s">
        <v>104</v>
      </c>
      <c r="W1560" t="s">
        <v>3077</v>
      </c>
      <c r="X1560" s="1">
        <v>44410</v>
      </c>
      <c r="Y1560" t="s">
        <v>63</v>
      </c>
      <c r="Z1560">
        <v>779.5</v>
      </c>
      <c r="AA1560">
        <v>16</v>
      </c>
      <c r="AB1560">
        <v>120.5</v>
      </c>
      <c r="AC1560">
        <v>0</v>
      </c>
      <c r="AD1560">
        <v>900</v>
      </c>
      <c r="AE1560">
        <v>2547.5</v>
      </c>
      <c r="AF1560">
        <v>3103</v>
      </c>
      <c r="AG1560" t="s">
        <v>3078</v>
      </c>
      <c r="AH1560" t="s">
        <v>66</v>
      </c>
      <c r="AI1560" t="s">
        <v>65</v>
      </c>
      <c r="AJ1560" t="s">
        <v>66</v>
      </c>
      <c r="AK1560" t="s">
        <v>66</v>
      </c>
      <c r="AL1560" t="s">
        <v>66</v>
      </c>
      <c r="AM1560" s="2" t="str">
        <f>HYPERLINK("https://transparencia.cidesi.mx/comprobantes/2021/CQ2100585 /C1FA238154_ONO960328UT2.pdf")</f>
        <v>https://transparencia.cidesi.mx/comprobantes/2021/CQ2100585 /C1FA238154_ONO960328UT2.pdf</v>
      </c>
      <c r="AN1560" t="str">
        <f>HYPERLINK("https://transparencia.cidesi.mx/comprobantes/2021/CQ2100585 /C1FA238154_ONO960328UT2.pdf")</f>
        <v>https://transparencia.cidesi.mx/comprobantes/2021/CQ2100585 /C1FA238154_ONO960328UT2.pdf</v>
      </c>
      <c r="AO1560" t="str">
        <f>HYPERLINK("https://transparencia.cidesi.mx/comprobantes/2021/CQ2100585 /C1FA238154_ONO960328UT2.xml")</f>
        <v>https://transparencia.cidesi.mx/comprobantes/2021/CQ2100585 /C1FA238154_ONO960328UT2.xml</v>
      </c>
      <c r="AP1560" t="s">
        <v>3079</v>
      </c>
      <c r="AQ1560" t="s">
        <v>3080</v>
      </c>
      <c r="AR1560" t="s">
        <v>3081</v>
      </c>
      <c r="AS1560" t="s">
        <v>3082</v>
      </c>
      <c r="AT1560" s="1">
        <v>44413</v>
      </c>
      <c r="AU1560" s="1">
        <v>44424</v>
      </c>
    </row>
    <row r="1561" spans="1:47" x14ac:dyDescent="0.3">
      <c r="A1561" t="s">
        <v>3072</v>
      </c>
      <c r="B1561" t="s">
        <v>3073</v>
      </c>
      <c r="C1561" t="s">
        <v>3073</v>
      </c>
      <c r="D1561">
        <v>101757</v>
      </c>
      <c r="E1561" t="s">
        <v>3074</v>
      </c>
      <c r="F1561" t="s">
        <v>912</v>
      </c>
      <c r="G1561" t="s">
        <v>352</v>
      </c>
      <c r="H1561" t="s">
        <v>3075</v>
      </c>
      <c r="I1561" t="s">
        <v>54</v>
      </c>
      <c r="J1561" t="s">
        <v>3076</v>
      </c>
      <c r="K1561" t="s">
        <v>56</v>
      </c>
      <c r="L1561">
        <v>0</v>
      </c>
      <c r="M1561" t="s">
        <v>73</v>
      </c>
      <c r="N1561">
        <v>0</v>
      </c>
      <c r="O1561" t="s">
        <v>58</v>
      </c>
      <c r="P1561" t="s">
        <v>59</v>
      </c>
      <c r="Q1561" t="s">
        <v>60</v>
      </c>
      <c r="R1561" t="s">
        <v>3076</v>
      </c>
      <c r="S1561" s="1">
        <v>44405</v>
      </c>
      <c r="T1561" s="1">
        <v>44406</v>
      </c>
      <c r="U1561">
        <v>37501</v>
      </c>
      <c r="V1561" t="s">
        <v>61</v>
      </c>
      <c r="W1561" t="s">
        <v>3077</v>
      </c>
      <c r="X1561" s="1">
        <v>44410</v>
      </c>
      <c r="Y1561" t="s">
        <v>63</v>
      </c>
      <c r="Z1561">
        <v>478.45</v>
      </c>
      <c r="AA1561">
        <v>16</v>
      </c>
      <c r="AB1561">
        <v>76.55</v>
      </c>
      <c r="AC1561">
        <v>55.5</v>
      </c>
      <c r="AD1561">
        <v>610.5</v>
      </c>
      <c r="AE1561">
        <v>2547.5</v>
      </c>
      <c r="AF1561">
        <v>3103</v>
      </c>
      <c r="AG1561" t="s">
        <v>3083</v>
      </c>
      <c r="AH1561" t="s">
        <v>65</v>
      </c>
      <c r="AI1561" t="s">
        <v>65</v>
      </c>
      <c r="AJ1561" t="s">
        <v>66</v>
      </c>
      <c r="AK1561" t="s">
        <v>66</v>
      </c>
      <c r="AL1561" t="s">
        <v>66</v>
      </c>
      <c r="AM1561" s="2" t="str">
        <f>HYPERLINK("https://transparencia.cidesi.mx/comprobantes/2021/CQ2100585 /C2FB1560513_RMC9207279R2.pdf")</f>
        <v>https://transparencia.cidesi.mx/comprobantes/2021/CQ2100585 /C2FB1560513_RMC9207279R2.pdf</v>
      </c>
      <c r="AN1561" t="str">
        <f>HYPERLINK("https://transparencia.cidesi.mx/comprobantes/2021/CQ2100585 /C2FB1560513_RMC9207279R2.pdf")</f>
        <v>https://transparencia.cidesi.mx/comprobantes/2021/CQ2100585 /C2FB1560513_RMC9207279R2.pdf</v>
      </c>
      <c r="AO1561" t="str">
        <f>HYPERLINK("https://transparencia.cidesi.mx/comprobantes/2021/CQ2100585 /C2FB1560513_RMC9207279R2.xml")</f>
        <v>https://transparencia.cidesi.mx/comprobantes/2021/CQ2100585 /C2FB1560513_RMC9207279R2.xml</v>
      </c>
      <c r="AP1561" t="s">
        <v>3079</v>
      </c>
      <c r="AQ1561" t="s">
        <v>3080</v>
      </c>
      <c r="AR1561" t="s">
        <v>3081</v>
      </c>
      <c r="AS1561" t="s">
        <v>3082</v>
      </c>
      <c r="AT1561" s="1">
        <v>44413</v>
      </c>
      <c r="AU1561" s="1">
        <v>44424</v>
      </c>
    </row>
    <row r="1562" spans="1:47" x14ac:dyDescent="0.3">
      <c r="A1562" t="s">
        <v>3072</v>
      </c>
      <c r="B1562" t="s">
        <v>3073</v>
      </c>
      <c r="C1562" t="s">
        <v>3073</v>
      </c>
      <c r="D1562">
        <v>101757</v>
      </c>
      <c r="E1562" t="s">
        <v>3074</v>
      </c>
      <c r="F1562" t="s">
        <v>912</v>
      </c>
      <c r="G1562" t="s">
        <v>352</v>
      </c>
      <c r="H1562" t="s">
        <v>3075</v>
      </c>
      <c r="I1562" t="s">
        <v>54</v>
      </c>
      <c r="J1562" t="s">
        <v>3076</v>
      </c>
      <c r="K1562" t="s">
        <v>56</v>
      </c>
      <c r="L1562">
        <v>0</v>
      </c>
      <c r="M1562" t="s">
        <v>73</v>
      </c>
      <c r="N1562">
        <v>0</v>
      </c>
      <c r="O1562" t="s">
        <v>58</v>
      </c>
      <c r="P1562" t="s">
        <v>59</v>
      </c>
      <c r="Q1562" t="s">
        <v>60</v>
      </c>
      <c r="R1562" t="s">
        <v>3076</v>
      </c>
      <c r="S1562" s="1">
        <v>44405</v>
      </c>
      <c r="T1562" s="1">
        <v>44406</v>
      </c>
      <c r="U1562">
        <v>37501</v>
      </c>
      <c r="V1562" t="s">
        <v>61</v>
      </c>
      <c r="W1562" t="s">
        <v>3077</v>
      </c>
      <c r="X1562" s="1">
        <v>44410</v>
      </c>
      <c r="Y1562" t="s">
        <v>63</v>
      </c>
      <c r="Z1562">
        <v>250</v>
      </c>
      <c r="AA1562">
        <v>16</v>
      </c>
      <c r="AB1562">
        <v>40</v>
      </c>
      <c r="AC1562">
        <v>29</v>
      </c>
      <c r="AD1562">
        <v>319</v>
      </c>
      <c r="AE1562">
        <v>2547.5</v>
      </c>
      <c r="AF1562">
        <v>3103</v>
      </c>
      <c r="AG1562" t="s">
        <v>3083</v>
      </c>
      <c r="AH1562" t="s">
        <v>66</v>
      </c>
      <c r="AI1562" t="s">
        <v>65</v>
      </c>
      <c r="AJ1562" t="s">
        <v>66</v>
      </c>
      <c r="AK1562" t="s">
        <v>66</v>
      </c>
      <c r="AL1562" t="s">
        <v>66</v>
      </c>
      <c r="AM1562" s="2" t="str">
        <f>HYPERLINK("https://transparencia.cidesi.mx/comprobantes/2021/CQ2100585 /C3FAA143543_ONO960328UT2.pdf")</f>
        <v>https://transparencia.cidesi.mx/comprobantes/2021/CQ2100585 /C3FAA143543_ONO960328UT2.pdf</v>
      </c>
      <c r="AN1562" t="str">
        <f>HYPERLINK("https://transparencia.cidesi.mx/comprobantes/2021/CQ2100585 /C3FAA143543_ONO960328UT2.pdf")</f>
        <v>https://transparencia.cidesi.mx/comprobantes/2021/CQ2100585 /C3FAA143543_ONO960328UT2.pdf</v>
      </c>
      <c r="AO1562" t="str">
        <f>HYPERLINK("https://transparencia.cidesi.mx/comprobantes/2021/CQ2100585 /C3FAA143543_ONO960328UT2.xml")</f>
        <v>https://transparencia.cidesi.mx/comprobantes/2021/CQ2100585 /C3FAA143543_ONO960328UT2.xml</v>
      </c>
      <c r="AP1562" t="s">
        <v>3079</v>
      </c>
      <c r="AQ1562" t="s">
        <v>3080</v>
      </c>
      <c r="AR1562" t="s">
        <v>3081</v>
      </c>
      <c r="AS1562" t="s">
        <v>3082</v>
      </c>
      <c r="AT1562" s="1">
        <v>44413</v>
      </c>
      <c r="AU1562" s="1">
        <v>44424</v>
      </c>
    </row>
    <row r="1563" spans="1:47" x14ac:dyDescent="0.3">
      <c r="A1563" t="s">
        <v>3072</v>
      </c>
      <c r="B1563" t="s">
        <v>3073</v>
      </c>
      <c r="C1563" t="s">
        <v>3073</v>
      </c>
      <c r="D1563">
        <v>101757</v>
      </c>
      <c r="E1563" t="s">
        <v>3074</v>
      </c>
      <c r="F1563" t="s">
        <v>912</v>
      </c>
      <c r="G1563" t="s">
        <v>352</v>
      </c>
      <c r="H1563" t="s">
        <v>3075</v>
      </c>
      <c r="I1563" t="s">
        <v>54</v>
      </c>
      <c r="J1563" t="s">
        <v>3076</v>
      </c>
      <c r="K1563" t="s">
        <v>56</v>
      </c>
      <c r="L1563">
        <v>0</v>
      </c>
      <c r="M1563" t="s">
        <v>73</v>
      </c>
      <c r="N1563">
        <v>0</v>
      </c>
      <c r="O1563" t="s">
        <v>58</v>
      </c>
      <c r="P1563" t="s">
        <v>59</v>
      </c>
      <c r="Q1563" t="s">
        <v>60</v>
      </c>
      <c r="R1563" t="s">
        <v>3076</v>
      </c>
      <c r="S1563" s="1">
        <v>44405</v>
      </c>
      <c r="T1563" s="1">
        <v>44406</v>
      </c>
      <c r="U1563">
        <v>37501</v>
      </c>
      <c r="V1563" t="s">
        <v>61</v>
      </c>
      <c r="W1563" t="s">
        <v>3077</v>
      </c>
      <c r="X1563" s="1">
        <v>44410</v>
      </c>
      <c r="Y1563" t="s">
        <v>63</v>
      </c>
      <c r="Z1563">
        <v>618.96</v>
      </c>
      <c r="AA1563">
        <v>16</v>
      </c>
      <c r="AB1563">
        <v>99.04</v>
      </c>
      <c r="AC1563">
        <v>0</v>
      </c>
      <c r="AD1563">
        <v>718</v>
      </c>
      <c r="AE1563">
        <v>2547.5</v>
      </c>
      <c r="AF1563">
        <v>3103</v>
      </c>
      <c r="AG1563" t="s">
        <v>3083</v>
      </c>
      <c r="AH1563" t="s">
        <v>66</v>
      </c>
      <c r="AI1563" t="s">
        <v>65</v>
      </c>
      <c r="AJ1563" t="s">
        <v>66</v>
      </c>
      <c r="AK1563" t="s">
        <v>66</v>
      </c>
      <c r="AL1563" t="s">
        <v>66</v>
      </c>
      <c r="AM1563" s="2" t="str">
        <f>HYPERLINK("https://transparencia.cidesi.mx/comprobantes/2021/CQ2100585 /C4FCFDINV1668_OIJJ400105BV1.pdf")</f>
        <v>https://transparencia.cidesi.mx/comprobantes/2021/CQ2100585 /C4FCFDINV1668_OIJJ400105BV1.pdf</v>
      </c>
      <c r="AN1563" t="str">
        <f>HYPERLINK("https://transparencia.cidesi.mx/comprobantes/2021/CQ2100585 /C4FCFDINV1668_OIJJ400105BV1.pdf")</f>
        <v>https://transparencia.cidesi.mx/comprobantes/2021/CQ2100585 /C4FCFDINV1668_OIJJ400105BV1.pdf</v>
      </c>
      <c r="AO1563" t="str">
        <f>HYPERLINK("https://transparencia.cidesi.mx/comprobantes/2021/CQ2100585 /C4FCFDINV1668_OIJJ400105BV1.xml")</f>
        <v>https://transparencia.cidesi.mx/comprobantes/2021/CQ2100585 /C4FCFDINV1668_OIJJ400105BV1.xml</v>
      </c>
      <c r="AP1563" t="s">
        <v>3079</v>
      </c>
      <c r="AQ1563" t="s">
        <v>3080</v>
      </c>
      <c r="AR1563" t="s">
        <v>3081</v>
      </c>
      <c r="AS1563" t="s">
        <v>3082</v>
      </c>
      <c r="AT1563" s="1">
        <v>44413</v>
      </c>
      <c r="AU1563" s="1">
        <v>44424</v>
      </c>
    </row>
    <row r="1564" spans="1:47" x14ac:dyDescent="0.3">
      <c r="A1564" t="s">
        <v>3072</v>
      </c>
      <c r="B1564" t="s">
        <v>3073</v>
      </c>
      <c r="C1564" t="s">
        <v>3073</v>
      </c>
      <c r="D1564">
        <v>101757</v>
      </c>
      <c r="E1564" t="s">
        <v>3074</v>
      </c>
      <c r="F1564" t="s">
        <v>912</v>
      </c>
      <c r="G1564" t="s">
        <v>352</v>
      </c>
      <c r="H1564" t="s">
        <v>3084</v>
      </c>
      <c r="I1564" t="s">
        <v>54</v>
      </c>
      <c r="J1564" t="s">
        <v>3085</v>
      </c>
      <c r="K1564" t="s">
        <v>56</v>
      </c>
      <c r="L1564">
        <v>0</v>
      </c>
      <c r="M1564" t="s">
        <v>73</v>
      </c>
      <c r="N1564">
        <v>0</v>
      </c>
      <c r="O1564" t="s">
        <v>58</v>
      </c>
      <c r="P1564" t="s">
        <v>59</v>
      </c>
      <c r="Q1564" t="s">
        <v>60</v>
      </c>
      <c r="R1564" t="s">
        <v>3085</v>
      </c>
      <c r="S1564" s="1">
        <v>44414</v>
      </c>
      <c r="T1564" s="1">
        <v>44414</v>
      </c>
      <c r="U1564">
        <v>37501</v>
      </c>
      <c r="V1564" t="s">
        <v>61</v>
      </c>
      <c r="W1564" t="s">
        <v>3086</v>
      </c>
      <c r="X1564" s="1">
        <v>44420</v>
      </c>
      <c r="Y1564" t="s">
        <v>100</v>
      </c>
      <c r="Z1564">
        <v>435.5</v>
      </c>
      <c r="AA1564">
        <v>16</v>
      </c>
      <c r="AB1564">
        <v>69.680000000000007</v>
      </c>
      <c r="AC1564">
        <v>0</v>
      </c>
      <c r="AD1564">
        <v>505.18</v>
      </c>
      <c r="AE1564">
        <v>834.18</v>
      </c>
      <c r="AF1564">
        <v>1034</v>
      </c>
      <c r="AG1564" t="s">
        <v>3083</v>
      </c>
      <c r="AH1564" t="s">
        <v>66</v>
      </c>
      <c r="AI1564" t="s">
        <v>65</v>
      </c>
      <c r="AJ1564" t="s">
        <v>66</v>
      </c>
      <c r="AK1564" t="s">
        <v>66</v>
      </c>
      <c r="AL1564" t="s">
        <v>66</v>
      </c>
      <c r="AM1564" s="2" t="str">
        <f>HYPERLINK("https://transparencia.cidesi.mx/comprobantes/2021/CQ2100644 /C15B123_ZEVC800919BU5.pdf")</f>
        <v>https://transparencia.cidesi.mx/comprobantes/2021/CQ2100644 /C15B123_ZEVC800919BU5.pdf</v>
      </c>
      <c r="AN1564" t="str">
        <f>HYPERLINK("https://transparencia.cidesi.mx/comprobantes/2021/CQ2100644 /C15B123_ZEVC800919BU5.pdf")</f>
        <v>https://transparencia.cidesi.mx/comprobantes/2021/CQ2100644 /C15B123_ZEVC800919BU5.pdf</v>
      </c>
      <c r="AO1564" t="str">
        <f>HYPERLINK("https://transparencia.cidesi.mx/comprobantes/2021/CQ2100644 /C15B123_ZEVC800919BU5.xml")</f>
        <v>https://transparencia.cidesi.mx/comprobantes/2021/CQ2100644 /C15B123_ZEVC800919BU5.xml</v>
      </c>
      <c r="AP1564" t="s">
        <v>3087</v>
      </c>
      <c r="AQ1564" t="s">
        <v>3087</v>
      </c>
      <c r="AR1564" t="s">
        <v>3087</v>
      </c>
      <c r="AS1564" t="s">
        <v>3087</v>
      </c>
      <c r="AT1564" s="1">
        <v>44425</v>
      </c>
      <c r="AU1564" t="s">
        <v>73</v>
      </c>
    </row>
    <row r="1565" spans="1:47" x14ac:dyDescent="0.3">
      <c r="A1565" t="s">
        <v>3072</v>
      </c>
      <c r="B1565" t="s">
        <v>3073</v>
      </c>
      <c r="C1565" t="s">
        <v>3073</v>
      </c>
      <c r="D1565">
        <v>101757</v>
      </c>
      <c r="E1565" t="s">
        <v>3074</v>
      </c>
      <c r="F1565" t="s">
        <v>912</v>
      </c>
      <c r="G1565" t="s">
        <v>352</v>
      </c>
      <c r="H1565" t="s">
        <v>3084</v>
      </c>
      <c r="I1565" t="s">
        <v>54</v>
      </c>
      <c r="J1565" t="s">
        <v>3085</v>
      </c>
      <c r="K1565" t="s">
        <v>56</v>
      </c>
      <c r="L1565">
        <v>0</v>
      </c>
      <c r="M1565" t="s">
        <v>73</v>
      </c>
      <c r="N1565">
        <v>0</v>
      </c>
      <c r="O1565" t="s">
        <v>58</v>
      </c>
      <c r="P1565" t="s">
        <v>59</v>
      </c>
      <c r="Q1565" t="s">
        <v>60</v>
      </c>
      <c r="R1565" t="s">
        <v>3085</v>
      </c>
      <c r="S1565" s="1">
        <v>44414</v>
      </c>
      <c r="T1565" s="1">
        <v>44414</v>
      </c>
      <c r="U1565">
        <v>37201</v>
      </c>
      <c r="V1565" t="s">
        <v>417</v>
      </c>
      <c r="W1565" t="s">
        <v>3086</v>
      </c>
      <c r="X1565" s="1">
        <v>44420</v>
      </c>
      <c r="Y1565" t="s">
        <v>100</v>
      </c>
      <c r="Z1565">
        <v>283.62</v>
      </c>
      <c r="AA1565">
        <v>16</v>
      </c>
      <c r="AB1565">
        <v>45.38</v>
      </c>
      <c r="AC1565">
        <v>0</v>
      </c>
      <c r="AD1565">
        <v>329</v>
      </c>
      <c r="AE1565">
        <v>834.18</v>
      </c>
      <c r="AF1565">
        <v>1034</v>
      </c>
      <c r="AG1565" t="s">
        <v>3088</v>
      </c>
      <c r="AH1565" t="s">
        <v>66</v>
      </c>
      <c r="AI1565" t="s">
        <v>65</v>
      </c>
      <c r="AJ1565" t="s">
        <v>66</v>
      </c>
      <c r="AK1565" t="s">
        <v>66</v>
      </c>
      <c r="AL1565" t="s">
        <v>66</v>
      </c>
      <c r="AM1565" s="2" t="str">
        <f>HYPERLINK("https://transparencia.cidesi.mx/comprobantes/2021/CQ2100644 /C231957_API6609273E0.pdf")</f>
        <v>https://transparencia.cidesi.mx/comprobantes/2021/CQ2100644 /C231957_API6609273E0.pdf</v>
      </c>
      <c r="AN1565" t="str">
        <f>HYPERLINK("https://transparencia.cidesi.mx/comprobantes/2021/CQ2100644 /C231957_API6609273E0.pdf")</f>
        <v>https://transparencia.cidesi.mx/comprobantes/2021/CQ2100644 /C231957_API6609273E0.pdf</v>
      </c>
      <c r="AO1565" t="str">
        <f>HYPERLINK("https://transparencia.cidesi.mx/comprobantes/2021/CQ2100644 /C231957_API6609273E0.xml")</f>
        <v>https://transparencia.cidesi.mx/comprobantes/2021/CQ2100644 /C231957_API6609273E0.xml</v>
      </c>
      <c r="AP1565" t="s">
        <v>3087</v>
      </c>
      <c r="AQ1565" t="s">
        <v>3087</v>
      </c>
      <c r="AR1565" t="s">
        <v>3087</v>
      </c>
      <c r="AS1565" t="s">
        <v>3087</v>
      </c>
      <c r="AT1565" s="1">
        <v>44425</v>
      </c>
      <c r="AU1565" t="s">
        <v>73</v>
      </c>
    </row>
    <row r="1566" spans="1:47" x14ac:dyDescent="0.3">
      <c r="A1566" t="s">
        <v>3072</v>
      </c>
      <c r="B1566" t="s">
        <v>3073</v>
      </c>
      <c r="C1566" t="s">
        <v>3073</v>
      </c>
      <c r="D1566">
        <v>101757</v>
      </c>
      <c r="E1566" t="s">
        <v>3074</v>
      </c>
      <c r="F1566" t="s">
        <v>912</v>
      </c>
      <c r="G1566" t="s">
        <v>352</v>
      </c>
      <c r="H1566" t="s">
        <v>3089</v>
      </c>
      <c r="I1566" t="s">
        <v>54</v>
      </c>
      <c r="J1566" t="s">
        <v>3090</v>
      </c>
      <c r="K1566" t="s">
        <v>56</v>
      </c>
      <c r="L1566">
        <v>0</v>
      </c>
      <c r="M1566" t="s">
        <v>73</v>
      </c>
      <c r="N1566">
        <v>0</v>
      </c>
      <c r="O1566" t="s">
        <v>58</v>
      </c>
      <c r="P1566" t="s">
        <v>59</v>
      </c>
      <c r="Q1566" t="s">
        <v>60</v>
      </c>
      <c r="R1566" t="s">
        <v>3090</v>
      </c>
      <c r="S1566" s="1">
        <v>44453</v>
      </c>
      <c r="T1566" s="1">
        <v>44454</v>
      </c>
      <c r="U1566">
        <v>37501</v>
      </c>
      <c r="V1566" t="s">
        <v>104</v>
      </c>
      <c r="W1566" t="s">
        <v>3091</v>
      </c>
      <c r="X1566" s="1">
        <v>44456</v>
      </c>
      <c r="Y1566" t="s">
        <v>63</v>
      </c>
      <c r="Z1566">
        <v>827.13</v>
      </c>
      <c r="AA1566">
        <v>16</v>
      </c>
      <c r="AB1566">
        <v>127.87</v>
      </c>
      <c r="AC1566">
        <v>0</v>
      </c>
      <c r="AD1566">
        <v>955</v>
      </c>
      <c r="AE1566">
        <v>2655.4</v>
      </c>
      <c r="AF1566">
        <v>3103</v>
      </c>
      <c r="AG1566" t="s">
        <v>3078</v>
      </c>
      <c r="AH1566" t="s">
        <v>65</v>
      </c>
      <c r="AI1566" t="s">
        <v>65</v>
      </c>
      <c r="AJ1566" t="s">
        <v>66</v>
      </c>
      <c r="AK1566" t="s">
        <v>66</v>
      </c>
      <c r="AL1566" t="s">
        <v>66</v>
      </c>
      <c r="AM1566" s="2" t="str">
        <f>HYPERLINK("https://transparencia.cidesi.mx/comprobantes/2021/CQ2100822 /C1FA239767_ONO960328UT2.pdf")</f>
        <v>https://transparencia.cidesi.mx/comprobantes/2021/CQ2100822 /C1FA239767_ONO960328UT2.pdf</v>
      </c>
      <c r="AN1566" t="str">
        <f>HYPERLINK("https://transparencia.cidesi.mx/comprobantes/2021/CQ2100822 /C1FA239767_ONO960328UT2.pdf")</f>
        <v>https://transparencia.cidesi.mx/comprobantes/2021/CQ2100822 /C1FA239767_ONO960328UT2.pdf</v>
      </c>
      <c r="AO1566" t="str">
        <f>HYPERLINK("https://transparencia.cidesi.mx/comprobantes/2021/CQ2100822 /C1FA239767_ONO960328UT2.xml")</f>
        <v>https://transparencia.cidesi.mx/comprobantes/2021/CQ2100822 /C1FA239767_ONO960328UT2.xml</v>
      </c>
      <c r="AP1566" t="s">
        <v>3090</v>
      </c>
      <c r="AQ1566" t="s">
        <v>3092</v>
      </c>
      <c r="AR1566" t="s">
        <v>3093</v>
      </c>
      <c r="AS1566" t="s">
        <v>3094</v>
      </c>
      <c r="AT1566" s="1">
        <v>44460</v>
      </c>
      <c r="AU1566" s="1">
        <v>44470</v>
      </c>
    </row>
    <row r="1567" spans="1:47" x14ac:dyDescent="0.3">
      <c r="A1567" t="s">
        <v>3072</v>
      </c>
      <c r="B1567" t="s">
        <v>3073</v>
      </c>
      <c r="C1567" t="s">
        <v>3073</v>
      </c>
      <c r="D1567">
        <v>101757</v>
      </c>
      <c r="E1567" t="s">
        <v>3074</v>
      </c>
      <c r="F1567" t="s">
        <v>912</v>
      </c>
      <c r="G1567" t="s">
        <v>352</v>
      </c>
      <c r="H1567" t="s">
        <v>3089</v>
      </c>
      <c r="I1567" t="s">
        <v>54</v>
      </c>
      <c r="J1567" t="s">
        <v>3090</v>
      </c>
      <c r="K1567" t="s">
        <v>56</v>
      </c>
      <c r="L1567">
        <v>0</v>
      </c>
      <c r="M1567" t="s">
        <v>73</v>
      </c>
      <c r="N1567">
        <v>0</v>
      </c>
      <c r="O1567" t="s">
        <v>58</v>
      </c>
      <c r="P1567" t="s">
        <v>59</v>
      </c>
      <c r="Q1567" t="s">
        <v>60</v>
      </c>
      <c r="R1567" t="s">
        <v>3090</v>
      </c>
      <c r="S1567" s="1">
        <v>44453</v>
      </c>
      <c r="T1567" s="1">
        <v>44454</v>
      </c>
      <c r="U1567">
        <v>37501</v>
      </c>
      <c r="V1567" t="s">
        <v>61</v>
      </c>
      <c r="W1567" t="s">
        <v>3091</v>
      </c>
      <c r="X1567" s="1">
        <v>44456</v>
      </c>
      <c r="Y1567" t="s">
        <v>63</v>
      </c>
      <c r="Z1567">
        <v>537.92999999999995</v>
      </c>
      <c r="AA1567">
        <v>16</v>
      </c>
      <c r="AB1567">
        <v>86.07</v>
      </c>
      <c r="AC1567">
        <v>62.4</v>
      </c>
      <c r="AD1567">
        <v>686.4</v>
      </c>
      <c r="AE1567">
        <v>2655.4</v>
      </c>
      <c r="AF1567">
        <v>3103</v>
      </c>
      <c r="AG1567" t="s">
        <v>3083</v>
      </c>
      <c r="AH1567" t="s">
        <v>65</v>
      </c>
      <c r="AI1567" t="s">
        <v>65</v>
      </c>
      <c r="AJ1567" t="s">
        <v>66</v>
      </c>
      <c r="AK1567" t="s">
        <v>66</v>
      </c>
      <c r="AL1567" t="s">
        <v>66</v>
      </c>
      <c r="AM1567" s="2" t="str">
        <f>HYPERLINK("https://transparencia.cidesi.mx/comprobantes/2021/CQ2100822 /C2F51749-PH_OAN140702SF2.pdf")</f>
        <v>https://transparencia.cidesi.mx/comprobantes/2021/CQ2100822 /C2F51749-PH_OAN140702SF2.pdf</v>
      </c>
      <c r="AN1567" t="str">
        <f>HYPERLINK("https://transparencia.cidesi.mx/comprobantes/2021/CQ2100822 /C2F51749-PH_OAN140702SF2.pdf")</f>
        <v>https://transparencia.cidesi.mx/comprobantes/2021/CQ2100822 /C2F51749-PH_OAN140702SF2.pdf</v>
      </c>
      <c r="AO1567" t="str">
        <f>HYPERLINK("https://transparencia.cidesi.mx/comprobantes/2021/CQ2100822 /C2F51749-PH_OAN140702SF2.xml")</f>
        <v>https://transparencia.cidesi.mx/comprobantes/2021/CQ2100822 /C2F51749-PH_OAN140702SF2.xml</v>
      </c>
      <c r="AP1567" t="s">
        <v>3090</v>
      </c>
      <c r="AQ1567" t="s">
        <v>3092</v>
      </c>
      <c r="AR1567" t="s">
        <v>3093</v>
      </c>
      <c r="AS1567" t="s">
        <v>3094</v>
      </c>
      <c r="AT1567" s="1">
        <v>44460</v>
      </c>
      <c r="AU1567" s="1">
        <v>44470</v>
      </c>
    </row>
    <row r="1568" spans="1:47" x14ac:dyDescent="0.3">
      <c r="A1568" t="s">
        <v>3072</v>
      </c>
      <c r="B1568" t="s">
        <v>3073</v>
      </c>
      <c r="C1568" t="s">
        <v>3073</v>
      </c>
      <c r="D1568">
        <v>101757</v>
      </c>
      <c r="E1568" t="s">
        <v>3074</v>
      </c>
      <c r="F1568" t="s">
        <v>912</v>
      </c>
      <c r="G1568" t="s">
        <v>352</v>
      </c>
      <c r="H1568" t="s">
        <v>3089</v>
      </c>
      <c r="I1568" t="s">
        <v>54</v>
      </c>
      <c r="J1568" t="s">
        <v>3090</v>
      </c>
      <c r="K1568" t="s">
        <v>56</v>
      </c>
      <c r="L1568">
        <v>0</v>
      </c>
      <c r="M1568" t="s">
        <v>73</v>
      </c>
      <c r="N1568">
        <v>0</v>
      </c>
      <c r="O1568" t="s">
        <v>58</v>
      </c>
      <c r="P1568" t="s">
        <v>59</v>
      </c>
      <c r="Q1568" t="s">
        <v>60</v>
      </c>
      <c r="R1568" t="s">
        <v>3090</v>
      </c>
      <c r="S1568" s="1">
        <v>44453</v>
      </c>
      <c r="T1568" s="1">
        <v>44454</v>
      </c>
      <c r="U1568">
        <v>37501</v>
      </c>
      <c r="V1568" t="s">
        <v>61</v>
      </c>
      <c r="W1568" t="s">
        <v>3091</v>
      </c>
      <c r="X1568" s="1">
        <v>44456</v>
      </c>
      <c r="Y1568" t="s">
        <v>63</v>
      </c>
      <c r="Z1568">
        <v>250</v>
      </c>
      <c r="AA1568">
        <v>16</v>
      </c>
      <c r="AB1568">
        <v>40</v>
      </c>
      <c r="AC1568">
        <v>29</v>
      </c>
      <c r="AD1568">
        <v>319</v>
      </c>
      <c r="AE1568">
        <v>2655.4</v>
      </c>
      <c r="AF1568">
        <v>3103</v>
      </c>
      <c r="AG1568" t="s">
        <v>3083</v>
      </c>
      <c r="AH1568" t="s">
        <v>66</v>
      </c>
      <c r="AI1568" t="s">
        <v>65</v>
      </c>
      <c r="AJ1568" t="s">
        <v>66</v>
      </c>
      <c r="AK1568" t="s">
        <v>66</v>
      </c>
      <c r="AL1568" t="s">
        <v>66</v>
      </c>
      <c r="AM1568" s="2" t="str">
        <f>HYPERLINK("https://transparencia.cidesi.mx/comprobantes/2021/CQ2100822 /C3FAA144036_ONO960328UT2.pdf")</f>
        <v>https://transparencia.cidesi.mx/comprobantes/2021/CQ2100822 /C3FAA144036_ONO960328UT2.pdf</v>
      </c>
      <c r="AN1568" t="str">
        <f>HYPERLINK("https://transparencia.cidesi.mx/comprobantes/2021/CQ2100822 /C3FAA144036_ONO960328UT2.pdf")</f>
        <v>https://transparencia.cidesi.mx/comprobantes/2021/CQ2100822 /C3FAA144036_ONO960328UT2.pdf</v>
      </c>
      <c r="AO1568" t="str">
        <f>HYPERLINK("https://transparencia.cidesi.mx/comprobantes/2021/CQ2100822 /C3FAA144036_ONO960328UT2.xml")</f>
        <v>https://transparencia.cidesi.mx/comprobantes/2021/CQ2100822 /C3FAA144036_ONO960328UT2.xml</v>
      </c>
      <c r="AP1568" t="s">
        <v>3090</v>
      </c>
      <c r="AQ1568" t="s">
        <v>3092</v>
      </c>
      <c r="AR1568" t="s">
        <v>3093</v>
      </c>
      <c r="AS1568" t="s">
        <v>3094</v>
      </c>
      <c r="AT1568" s="1">
        <v>44460</v>
      </c>
      <c r="AU1568" s="1">
        <v>44470</v>
      </c>
    </row>
    <row r="1569" spans="1:47" x14ac:dyDescent="0.3">
      <c r="A1569" t="s">
        <v>3072</v>
      </c>
      <c r="B1569" t="s">
        <v>3073</v>
      </c>
      <c r="C1569" t="s">
        <v>3073</v>
      </c>
      <c r="D1569">
        <v>101757</v>
      </c>
      <c r="E1569" t="s">
        <v>3074</v>
      </c>
      <c r="F1569" t="s">
        <v>912</v>
      </c>
      <c r="G1569" t="s">
        <v>352</v>
      </c>
      <c r="H1569" t="s">
        <v>3089</v>
      </c>
      <c r="I1569" t="s">
        <v>54</v>
      </c>
      <c r="J1569" t="s">
        <v>3090</v>
      </c>
      <c r="K1569" t="s">
        <v>56</v>
      </c>
      <c r="L1569">
        <v>0</v>
      </c>
      <c r="M1569" t="s">
        <v>73</v>
      </c>
      <c r="N1569">
        <v>0</v>
      </c>
      <c r="O1569" t="s">
        <v>58</v>
      </c>
      <c r="P1569" t="s">
        <v>59</v>
      </c>
      <c r="Q1569" t="s">
        <v>60</v>
      </c>
      <c r="R1569" t="s">
        <v>3090</v>
      </c>
      <c r="S1569" s="1">
        <v>44453</v>
      </c>
      <c r="T1569" s="1">
        <v>44454</v>
      </c>
      <c r="U1569">
        <v>37501</v>
      </c>
      <c r="V1569" t="s">
        <v>61</v>
      </c>
      <c r="W1569" t="s">
        <v>3091</v>
      </c>
      <c r="X1569" s="1">
        <v>44456</v>
      </c>
      <c r="Y1569" t="s">
        <v>63</v>
      </c>
      <c r="Z1569">
        <v>599.14</v>
      </c>
      <c r="AA1569">
        <v>16</v>
      </c>
      <c r="AB1569">
        <v>95.86</v>
      </c>
      <c r="AC1569">
        <v>0</v>
      </c>
      <c r="AD1569">
        <v>695</v>
      </c>
      <c r="AE1569">
        <v>2655.4</v>
      </c>
      <c r="AF1569">
        <v>3103</v>
      </c>
      <c r="AG1569" t="s">
        <v>3083</v>
      </c>
      <c r="AH1569" t="s">
        <v>66</v>
      </c>
      <c r="AI1569" t="s">
        <v>65</v>
      </c>
      <c r="AJ1569" t="s">
        <v>66</v>
      </c>
      <c r="AK1569" t="s">
        <v>66</v>
      </c>
      <c r="AL1569" t="s">
        <v>66</v>
      </c>
      <c r="AM1569" s="2" t="str">
        <f>HYPERLINK("https://transparencia.cidesi.mx/comprobantes/2021/CQ2100822 /C4FCFDINV1841_OIJJ400105BV1.pdf")</f>
        <v>https://transparencia.cidesi.mx/comprobantes/2021/CQ2100822 /C4FCFDINV1841_OIJJ400105BV1.pdf</v>
      </c>
      <c r="AN1569" t="str">
        <f>HYPERLINK("https://transparencia.cidesi.mx/comprobantes/2021/CQ2100822 /C4FCFDINV1841_OIJJ400105BV1.pdf")</f>
        <v>https://transparencia.cidesi.mx/comprobantes/2021/CQ2100822 /C4FCFDINV1841_OIJJ400105BV1.pdf</v>
      </c>
      <c r="AO1569" t="str">
        <f>HYPERLINK("https://transparencia.cidesi.mx/comprobantes/2021/CQ2100822 /C4FCFDINV1841_OIJJ400105BV1.xml")</f>
        <v>https://transparencia.cidesi.mx/comprobantes/2021/CQ2100822 /C4FCFDINV1841_OIJJ400105BV1.xml</v>
      </c>
      <c r="AP1569" t="s">
        <v>3090</v>
      </c>
      <c r="AQ1569" t="s">
        <v>3092</v>
      </c>
      <c r="AR1569" t="s">
        <v>3093</v>
      </c>
      <c r="AS1569" t="s">
        <v>3094</v>
      </c>
      <c r="AT1569" s="1">
        <v>44460</v>
      </c>
      <c r="AU1569" s="1">
        <v>44470</v>
      </c>
    </row>
    <row r="1570" spans="1:47" x14ac:dyDescent="0.3">
      <c r="A1570" t="s">
        <v>47</v>
      </c>
      <c r="B1570" t="s">
        <v>48</v>
      </c>
      <c r="C1570" t="s">
        <v>49</v>
      </c>
      <c r="D1570">
        <v>101903</v>
      </c>
      <c r="E1570" t="s">
        <v>3095</v>
      </c>
      <c r="F1570" t="s">
        <v>3096</v>
      </c>
      <c r="G1570" t="s">
        <v>912</v>
      </c>
      <c r="H1570" t="s">
        <v>3097</v>
      </c>
      <c r="I1570" t="s">
        <v>54</v>
      </c>
      <c r="J1570" t="s">
        <v>3098</v>
      </c>
      <c r="K1570" t="s">
        <v>56</v>
      </c>
      <c r="L1570">
        <v>0</v>
      </c>
      <c r="M1570" t="s">
        <v>73</v>
      </c>
      <c r="N1570">
        <v>0</v>
      </c>
      <c r="O1570" t="s">
        <v>58</v>
      </c>
      <c r="P1570" t="s">
        <v>59</v>
      </c>
      <c r="Q1570" t="s">
        <v>355</v>
      </c>
      <c r="R1570" t="s">
        <v>3098</v>
      </c>
      <c r="S1570" s="1">
        <v>44417</v>
      </c>
      <c r="T1570" s="1">
        <v>44422</v>
      </c>
      <c r="U1570">
        <v>37501</v>
      </c>
      <c r="V1570" t="s">
        <v>104</v>
      </c>
      <c r="W1570" t="s">
        <v>3099</v>
      </c>
      <c r="X1570" s="1">
        <v>44425</v>
      </c>
      <c r="Y1570" t="s">
        <v>63</v>
      </c>
      <c r="Z1570">
        <v>1191.3599999999999</v>
      </c>
      <c r="AA1570">
        <v>16</v>
      </c>
      <c r="AB1570">
        <v>186.88</v>
      </c>
      <c r="AC1570">
        <v>0</v>
      </c>
      <c r="AD1570">
        <v>1378.24</v>
      </c>
      <c r="AE1570">
        <v>4893.25</v>
      </c>
      <c r="AF1570">
        <v>6000</v>
      </c>
      <c r="AG1570" t="s">
        <v>3100</v>
      </c>
      <c r="AH1570" t="s">
        <v>65</v>
      </c>
      <c r="AI1570" t="s">
        <v>65</v>
      </c>
      <c r="AJ1570" t="s">
        <v>66</v>
      </c>
      <c r="AK1570" t="s">
        <v>66</v>
      </c>
      <c r="AL1570" t="s">
        <v>66</v>
      </c>
      <c r="AM1570" s="2" t="str">
        <f>HYPERLINK("https://transparencia.cidesi.mx/comprobantes/2021/CQ2100661 /C2F113079A_HFR830620BL6.pdf")</f>
        <v>https://transparencia.cidesi.mx/comprobantes/2021/CQ2100661 /C2F113079A_HFR830620BL6.pdf</v>
      </c>
      <c r="AN1570" t="str">
        <f>HYPERLINK("https://transparencia.cidesi.mx/comprobantes/2021/CQ2100661 /C2F113079A_HFR830620BL6.pdf")</f>
        <v>https://transparencia.cidesi.mx/comprobantes/2021/CQ2100661 /C2F113079A_HFR830620BL6.pdf</v>
      </c>
      <c r="AO1570" t="str">
        <f>HYPERLINK("https://transparencia.cidesi.mx/comprobantes/2021/CQ2100661 /C2F113079A_HFR830620BL6.xml")</f>
        <v>https://transparencia.cidesi.mx/comprobantes/2021/CQ2100661 /C2F113079A_HFR830620BL6.xml</v>
      </c>
      <c r="AP1570" t="s">
        <v>3101</v>
      </c>
      <c r="AQ1570" t="s">
        <v>3102</v>
      </c>
      <c r="AR1570" t="s">
        <v>3103</v>
      </c>
      <c r="AS1570" t="s">
        <v>3104</v>
      </c>
      <c r="AT1570" s="1">
        <v>44433</v>
      </c>
      <c r="AU1570" s="1">
        <v>44433</v>
      </c>
    </row>
    <row r="1571" spans="1:47" x14ac:dyDescent="0.3">
      <c r="A1571" t="s">
        <v>47</v>
      </c>
      <c r="B1571" t="s">
        <v>48</v>
      </c>
      <c r="C1571" t="s">
        <v>49</v>
      </c>
      <c r="D1571">
        <v>101903</v>
      </c>
      <c r="E1571" t="s">
        <v>3095</v>
      </c>
      <c r="F1571" t="s">
        <v>3096</v>
      </c>
      <c r="G1571" t="s">
        <v>912</v>
      </c>
      <c r="H1571" t="s">
        <v>3097</v>
      </c>
      <c r="I1571" t="s">
        <v>54</v>
      </c>
      <c r="J1571" t="s">
        <v>3098</v>
      </c>
      <c r="K1571" t="s">
        <v>56</v>
      </c>
      <c r="L1571">
        <v>0</v>
      </c>
      <c r="M1571" t="s">
        <v>73</v>
      </c>
      <c r="N1571">
        <v>0</v>
      </c>
      <c r="O1571" t="s">
        <v>58</v>
      </c>
      <c r="P1571" t="s">
        <v>59</v>
      </c>
      <c r="Q1571" t="s">
        <v>355</v>
      </c>
      <c r="R1571" t="s">
        <v>3098</v>
      </c>
      <c r="S1571" s="1">
        <v>44417</v>
      </c>
      <c r="T1571" s="1">
        <v>44422</v>
      </c>
      <c r="U1571">
        <v>37501</v>
      </c>
      <c r="V1571" t="s">
        <v>61</v>
      </c>
      <c r="W1571" t="s">
        <v>3099</v>
      </c>
      <c r="X1571" s="1">
        <v>44425</v>
      </c>
      <c r="Y1571" t="s">
        <v>63</v>
      </c>
      <c r="Z1571">
        <v>151.72</v>
      </c>
      <c r="AA1571">
        <v>16</v>
      </c>
      <c r="AB1571">
        <v>24.28</v>
      </c>
      <c r="AC1571">
        <v>0</v>
      </c>
      <c r="AD1571">
        <v>176</v>
      </c>
      <c r="AE1571">
        <v>4893.25</v>
      </c>
      <c r="AF1571">
        <v>6000</v>
      </c>
      <c r="AG1571" t="s">
        <v>3105</v>
      </c>
      <c r="AH1571" t="s">
        <v>65</v>
      </c>
      <c r="AI1571" t="s">
        <v>65</v>
      </c>
      <c r="AJ1571" t="s">
        <v>66</v>
      </c>
      <c r="AK1571" t="s">
        <v>66</v>
      </c>
      <c r="AL1571" t="s">
        <v>66</v>
      </c>
      <c r="AM1571" s="2" t="str">
        <f>HYPERLINK("https://transparencia.cidesi.mx/comprobantes/2021/CQ2100661 /C3F134408A_HPM8708257W1.pdf")</f>
        <v>https://transparencia.cidesi.mx/comprobantes/2021/CQ2100661 /C3F134408A_HPM8708257W1.pdf</v>
      </c>
      <c r="AN1571" t="str">
        <f>HYPERLINK("https://transparencia.cidesi.mx/comprobantes/2021/CQ2100661 /C3F134408A_HPM8708257W1.pdf")</f>
        <v>https://transparencia.cidesi.mx/comprobantes/2021/CQ2100661 /C3F134408A_HPM8708257W1.pdf</v>
      </c>
      <c r="AO1571" t="str">
        <f>HYPERLINK("https://transparencia.cidesi.mx/comprobantes/2021/CQ2100661 /C3F134408A_HPM8708257W1.xml")</f>
        <v>https://transparencia.cidesi.mx/comprobantes/2021/CQ2100661 /C3F134408A_HPM8708257W1.xml</v>
      </c>
      <c r="AP1571" t="s">
        <v>3101</v>
      </c>
      <c r="AQ1571" t="s">
        <v>3102</v>
      </c>
      <c r="AR1571" t="s">
        <v>3103</v>
      </c>
      <c r="AS1571" t="s">
        <v>3104</v>
      </c>
      <c r="AT1571" s="1">
        <v>44433</v>
      </c>
      <c r="AU1571" s="1">
        <v>44433</v>
      </c>
    </row>
    <row r="1572" spans="1:47" x14ac:dyDescent="0.3">
      <c r="A1572" t="s">
        <v>47</v>
      </c>
      <c r="B1572" t="s">
        <v>48</v>
      </c>
      <c r="C1572" t="s">
        <v>49</v>
      </c>
      <c r="D1572">
        <v>101903</v>
      </c>
      <c r="E1572" t="s">
        <v>3095</v>
      </c>
      <c r="F1572" t="s">
        <v>3096</v>
      </c>
      <c r="G1572" t="s">
        <v>912</v>
      </c>
      <c r="H1572" t="s">
        <v>3097</v>
      </c>
      <c r="I1572" t="s">
        <v>54</v>
      </c>
      <c r="J1572" t="s">
        <v>3098</v>
      </c>
      <c r="K1572" t="s">
        <v>56</v>
      </c>
      <c r="L1572">
        <v>0</v>
      </c>
      <c r="M1572" t="s">
        <v>73</v>
      </c>
      <c r="N1572">
        <v>0</v>
      </c>
      <c r="O1572" t="s">
        <v>58</v>
      </c>
      <c r="P1572" t="s">
        <v>59</v>
      </c>
      <c r="Q1572" t="s">
        <v>355</v>
      </c>
      <c r="R1572" t="s">
        <v>3098</v>
      </c>
      <c r="S1572" s="1">
        <v>44417</v>
      </c>
      <c r="T1572" s="1">
        <v>44422</v>
      </c>
      <c r="U1572">
        <v>37501</v>
      </c>
      <c r="V1572" t="s">
        <v>61</v>
      </c>
      <c r="W1572" t="s">
        <v>3099</v>
      </c>
      <c r="X1572" s="1">
        <v>44425</v>
      </c>
      <c r="Y1572" t="s">
        <v>63</v>
      </c>
      <c r="Z1572">
        <v>79.31</v>
      </c>
      <c r="AA1572">
        <v>16</v>
      </c>
      <c r="AB1572">
        <v>12.69</v>
      </c>
      <c r="AC1572">
        <v>0</v>
      </c>
      <c r="AD1572">
        <v>92</v>
      </c>
      <c r="AE1572">
        <v>4893.25</v>
      </c>
      <c r="AF1572">
        <v>6000</v>
      </c>
      <c r="AG1572" t="s">
        <v>3105</v>
      </c>
      <c r="AH1572" t="s">
        <v>65</v>
      </c>
      <c r="AI1572" t="s">
        <v>65</v>
      </c>
      <c r="AJ1572" t="s">
        <v>66</v>
      </c>
      <c r="AK1572" t="s">
        <v>66</v>
      </c>
      <c r="AL1572" t="s">
        <v>66</v>
      </c>
      <c r="AM1572" s="2" t="str">
        <f>HYPERLINK("https://transparencia.cidesi.mx/comprobantes/2021/CQ2100661 /C4F134423A_HPM8708257W1.pdf")</f>
        <v>https://transparencia.cidesi.mx/comprobantes/2021/CQ2100661 /C4F134423A_HPM8708257W1.pdf</v>
      </c>
      <c r="AN1572" t="str">
        <f>HYPERLINK("https://transparencia.cidesi.mx/comprobantes/2021/CQ2100661 /C4F134423A_HPM8708257W1.pdf")</f>
        <v>https://transparencia.cidesi.mx/comprobantes/2021/CQ2100661 /C4F134423A_HPM8708257W1.pdf</v>
      </c>
      <c r="AO1572" t="str">
        <f>HYPERLINK("https://transparencia.cidesi.mx/comprobantes/2021/CQ2100661 /C4F134423A_HPM8708257W1.xml")</f>
        <v>https://transparencia.cidesi.mx/comprobantes/2021/CQ2100661 /C4F134423A_HPM8708257W1.xml</v>
      </c>
      <c r="AP1572" t="s">
        <v>3101</v>
      </c>
      <c r="AQ1572" t="s">
        <v>3102</v>
      </c>
      <c r="AR1572" t="s">
        <v>3103</v>
      </c>
      <c r="AS1572" t="s">
        <v>3104</v>
      </c>
      <c r="AT1572" s="1">
        <v>44433</v>
      </c>
      <c r="AU1572" s="1">
        <v>44433</v>
      </c>
    </row>
    <row r="1573" spans="1:47" x14ac:dyDescent="0.3">
      <c r="A1573" t="s">
        <v>47</v>
      </c>
      <c r="B1573" t="s">
        <v>48</v>
      </c>
      <c r="C1573" t="s">
        <v>49</v>
      </c>
      <c r="D1573">
        <v>101903</v>
      </c>
      <c r="E1573" t="s">
        <v>3095</v>
      </c>
      <c r="F1573" t="s">
        <v>3096</v>
      </c>
      <c r="G1573" t="s">
        <v>912</v>
      </c>
      <c r="H1573" t="s">
        <v>3097</v>
      </c>
      <c r="I1573" t="s">
        <v>54</v>
      </c>
      <c r="J1573" t="s">
        <v>3098</v>
      </c>
      <c r="K1573" t="s">
        <v>56</v>
      </c>
      <c r="L1573">
        <v>0</v>
      </c>
      <c r="M1573" t="s">
        <v>73</v>
      </c>
      <c r="N1573">
        <v>0</v>
      </c>
      <c r="O1573" t="s">
        <v>58</v>
      </c>
      <c r="P1573" t="s">
        <v>59</v>
      </c>
      <c r="Q1573" t="s">
        <v>355</v>
      </c>
      <c r="R1573" t="s">
        <v>3098</v>
      </c>
      <c r="S1573" s="1">
        <v>44417</v>
      </c>
      <c r="T1573" s="1">
        <v>44422</v>
      </c>
      <c r="U1573">
        <v>37501</v>
      </c>
      <c r="V1573" t="s">
        <v>61</v>
      </c>
      <c r="W1573" t="s">
        <v>3099</v>
      </c>
      <c r="X1573" s="1">
        <v>44425</v>
      </c>
      <c r="Y1573" t="s">
        <v>63</v>
      </c>
      <c r="Z1573">
        <v>89.66</v>
      </c>
      <c r="AA1573">
        <v>16</v>
      </c>
      <c r="AB1573">
        <v>14.34</v>
      </c>
      <c r="AC1573">
        <v>0</v>
      </c>
      <c r="AD1573">
        <v>104</v>
      </c>
      <c r="AE1573">
        <v>4893.25</v>
      </c>
      <c r="AF1573">
        <v>6000</v>
      </c>
      <c r="AG1573" t="s">
        <v>3105</v>
      </c>
      <c r="AH1573" t="s">
        <v>65</v>
      </c>
      <c r="AI1573" t="s">
        <v>65</v>
      </c>
      <c r="AJ1573" t="s">
        <v>66</v>
      </c>
      <c r="AK1573" t="s">
        <v>66</v>
      </c>
      <c r="AL1573" t="s">
        <v>66</v>
      </c>
      <c r="AM1573" s="2" t="str">
        <f>HYPERLINK("https://transparencia.cidesi.mx/comprobantes/2021/CQ2100661 /C5F134431A_HPM8708257W1.pdf")</f>
        <v>https://transparencia.cidesi.mx/comprobantes/2021/CQ2100661 /C5F134431A_HPM8708257W1.pdf</v>
      </c>
      <c r="AN1573" t="str">
        <f>HYPERLINK("https://transparencia.cidesi.mx/comprobantes/2021/CQ2100661 /C5F134431A_HPM8708257W1.pdf")</f>
        <v>https://transparencia.cidesi.mx/comprobantes/2021/CQ2100661 /C5F134431A_HPM8708257W1.pdf</v>
      </c>
      <c r="AO1573" t="str">
        <f>HYPERLINK("https://transparencia.cidesi.mx/comprobantes/2021/CQ2100661 /C5F134431A_HPM8708257W1.xml")</f>
        <v>https://transparencia.cidesi.mx/comprobantes/2021/CQ2100661 /C5F134431A_HPM8708257W1.xml</v>
      </c>
      <c r="AP1573" t="s">
        <v>3101</v>
      </c>
      <c r="AQ1573" t="s">
        <v>3102</v>
      </c>
      <c r="AR1573" t="s">
        <v>3103</v>
      </c>
      <c r="AS1573" t="s">
        <v>3104</v>
      </c>
      <c r="AT1573" s="1">
        <v>44433</v>
      </c>
      <c r="AU1573" s="1">
        <v>44433</v>
      </c>
    </row>
    <row r="1574" spans="1:47" x14ac:dyDescent="0.3">
      <c r="A1574" t="s">
        <v>47</v>
      </c>
      <c r="B1574" t="s">
        <v>48</v>
      </c>
      <c r="C1574" t="s">
        <v>49</v>
      </c>
      <c r="D1574">
        <v>101903</v>
      </c>
      <c r="E1574" t="s">
        <v>3095</v>
      </c>
      <c r="F1574" t="s">
        <v>3096</v>
      </c>
      <c r="G1574" t="s">
        <v>912</v>
      </c>
      <c r="H1574" t="s">
        <v>3097</v>
      </c>
      <c r="I1574" t="s">
        <v>54</v>
      </c>
      <c r="J1574" t="s">
        <v>3098</v>
      </c>
      <c r="K1574" t="s">
        <v>56</v>
      </c>
      <c r="L1574">
        <v>0</v>
      </c>
      <c r="M1574" t="s">
        <v>73</v>
      </c>
      <c r="N1574">
        <v>0</v>
      </c>
      <c r="O1574" t="s">
        <v>58</v>
      </c>
      <c r="P1574" t="s">
        <v>59</v>
      </c>
      <c r="Q1574" t="s">
        <v>355</v>
      </c>
      <c r="R1574" t="s">
        <v>3098</v>
      </c>
      <c r="S1574" s="1">
        <v>44417</v>
      </c>
      <c r="T1574" s="1">
        <v>44422</v>
      </c>
      <c r="U1574">
        <v>37501</v>
      </c>
      <c r="V1574" t="s">
        <v>61</v>
      </c>
      <c r="W1574" t="s">
        <v>3099</v>
      </c>
      <c r="X1574" s="1">
        <v>44425</v>
      </c>
      <c r="Y1574" t="s">
        <v>63</v>
      </c>
      <c r="Z1574">
        <v>103.45</v>
      </c>
      <c r="AA1574">
        <v>16</v>
      </c>
      <c r="AB1574">
        <v>16.55</v>
      </c>
      <c r="AC1574">
        <v>0</v>
      </c>
      <c r="AD1574">
        <v>120</v>
      </c>
      <c r="AE1574">
        <v>4893.25</v>
      </c>
      <c r="AF1574">
        <v>6000</v>
      </c>
      <c r="AG1574" t="s">
        <v>3105</v>
      </c>
      <c r="AH1574" t="s">
        <v>65</v>
      </c>
      <c r="AI1574" t="s">
        <v>65</v>
      </c>
      <c r="AJ1574" t="s">
        <v>66</v>
      </c>
      <c r="AK1574" t="s">
        <v>66</v>
      </c>
      <c r="AL1574" t="s">
        <v>66</v>
      </c>
      <c r="AM1574" s="2" t="str">
        <f>HYPERLINK("https://transparencia.cidesi.mx/comprobantes/2021/CQ2100661 /C6F134440A_HPM8708257W1.pdf")</f>
        <v>https://transparencia.cidesi.mx/comprobantes/2021/CQ2100661 /C6F134440A_HPM8708257W1.pdf</v>
      </c>
      <c r="AN1574" t="str">
        <f>HYPERLINK("https://transparencia.cidesi.mx/comprobantes/2021/CQ2100661 /C6F134440A_HPM8708257W1.pdf")</f>
        <v>https://transparencia.cidesi.mx/comprobantes/2021/CQ2100661 /C6F134440A_HPM8708257W1.pdf</v>
      </c>
      <c r="AO1574" t="str">
        <f>HYPERLINK("https://transparencia.cidesi.mx/comprobantes/2021/CQ2100661 /C6F134440A_HPM8708257W1.xml")</f>
        <v>https://transparencia.cidesi.mx/comprobantes/2021/CQ2100661 /C6F134440A_HPM8708257W1.xml</v>
      </c>
      <c r="AP1574" t="s">
        <v>3101</v>
      </c>
      <c r="AQ1574" t="s">
        <v>3102</v>
      </c>
      <c r="AR1574" t="s">
        <v>3103</v>
      </c>
      <c r="AS1574" t="s">
        <v>3104</v>
      </c>
      <c r="AT1574" s="1">
        <v>44433</v>
      </c>
      <c r="AU1574" s="1">
        <v>44433</v>
      </c>
    </row>
    <row r="1575" spans="1:47" x14ac:dyDescent="0.3">
      <c r="A1575" t="s">
        <v>47</v>
      </c>
      <c r="B1575" t="s">
        <v>48</v>
      </c>
      <c r="C1575" t="s">
        <v>49</v>
      </c>
      <c r="D1575">
        <v>101903</v>
      </c>
      <c r="E1575" t="s">
        <v>3095</v>
      </c>
      <c r="F1575" t="s">
        <v>3096</v>
      </c>
      <c r="G1575" t="s">
        <v>912</v>
      </c>
      <c r="H1575" t="s">
        <v>3097</v>
      </c>
      <c r="I1575" t="s">
        <v>54</v>
      </c>
      <c r="J1575" t="s">
        <v>3098</v>
      </c>
      <c r="K1575" t="s">
        <v>56</v>
      </c>
      <c r="L1575">
        <v>0</v>
      </c>
      <c r="M1575" t="s">
        <v>73</v>
      </c>
      <c r="N1575">
        <v>0</v>
      </c>
      <c r="O1575" t="s">
        <v>58</v>
      </c>
      <c r="P1575" t="s">
        <v>59</v>
      </c>
      <c r="Q1575" t="s">
        <v>355</v>
      </c>
      <c r="R1575" t="s">
        <v>3098</v>
      </c>
      <c r="S1575" s="1">
        <v>44417</v>
      </c>
      <c r="T1575" s="1">
        <v>44422</v>
      </c>
      <c r="U1575">
        <v>37501</v>
      </c>
      <c r="V1575" t="s">
        <v>104</v>
      </c>
      <c r="W1575" t="s">
        <v>3099</v>
      </c>
      <c r="X1575" s="1">
        <v>44425</v>
      </c>
      <c r="Y1575" t="s">
        <v>63</v>
      </c>
      <c r="Z1575">
        <v>1482.71</v>
      </c>
      <c r="AA1575">
        <v>8</v>
      </c>
      <c r="AB1575">
        <v>116.29</v>
      </c>
      <c r="AC1575">
        <v>0</v>
      </c>
      <c r="AD1575">
        <v>1599</v>
      </c>
      <c r="AE1575">
        <v>4893.25</v>
      </c>
      <c r="AF1575">
        <v>6000</v>
      </c>
      <c r="AG1575" t="s">
        <v>3100</v>
      </c>
      <c r="AH1575" t="s">
        <v>65</v>
      </c>
      <c r="AI1575" t="s">
        <v>65</v>
      </c>
      <c r="AJ1575" t="s">
        <v>66</v>
      </c>
      <c r="AK1575" t="s">
        <v>66</v>
      </c>
      <c r="AL1575" t="s">
        <v>66</v>
      </c>
      <c r="AM1575" s="2" t="str">
        <f>HYPERLINK("https://transparencia.cidesi.mx/comprobantes/2021/CQ2100661 /C8FH0000006338_RGR170426NV0.pdf")</f>
        <v>https://transparencia.cidesi.mx/comprobantes/2021/CQ2100661 /C8FH0000006338_RGR170426NV0.pdf</v>
      </c>
      <c r="AN1575" t="str">
        <f>HYPERLINK("https://transparencia.cidesi.mx/comprobantes/2021/CQ2100661 /C8FH0000006338_RGR170426NV0.pdf")</f>
        <v>https://transparencia.cidesi.mx/comprobantes/2021/CQ2100661 /C8FH0000006338_RGR170426NV0.pdf</v>
      </c>
      <c r="AO1575" t="str">
        <f>HYPERLINK("https://transparencia.cidesi.mx/comprobantes/2021/CQ2100661 /C8FH0000006338_RGR170426NV0.xml")</f>
        <v>https://transparencia.cidesi.mx/comprobantes/2021/CQ2100661 /C8FH0000006338_RGR170426NV0.xml</v>
      </c>
      <c r="AP1575" t="s">
        <v>3101</v>
      </c>
      <c r="AQ1575" t="s">
        <v>3102</v>
      </c>
      <c r="AR1575" t="s">
        <v>3103</v>
      </c>
      <c r="AS1575" t="s">
        <v>3104</v>
      </c>
      <c r="AT1575" s="1">
        <v>44433</v>
      </c>
      <c r="AU1575" s="1">
        <v>44433</v>
      </c>
    </row>
    <row r="1576" spans="1:47" x14ac:dyDescent="0.3">
      <c r="A1576" t="s">
        <v>47</v>
      </c>
      <c r="B1576" t="s">
        <v>48</v>
      </c>
      <c r="C1576" t="s">
        <v>49</v>
      </c>
      <c r="D1576">
        <v>101903</v>
      </c>
      <c r="E1576" t="s">
        <v>3095</v>
      </c>
      <c r="F1576" t="s">
        <v>3096</v>
      </c>
      <c r="G1576" t="s">
        <v>912</v>
      </c>
      <c r="H1576" t="s">
        <v>3097</v>
      </c>
      <c r="I1576" t="s">
        <v>54</v>
      </c>
      <c r="J1576" t="s">
        <v>3098</v>
      </c>
      <c r="K1576" t="s">
        <v>56</v>
      </c>
      <c r="L1576">
        <v>0</v>
      </c>
      <c r="M1576" t="s">
        <v>73</v>
      </c>
      <c r="N1576">
        <v>0</v>
      </c>
      <c r="O1576" t="s">
        <v>58</v>
      </c>
      <c r="P1576" t="s">
        <v>59</v>
      </c>
      <c r="Q1576" t="s">
        <v>355</v>
      </c>
      <c r="R1576" t="s">
        <v>3098</v>
      </c>
      <c r="S1576" s="1">
        <v>44417</v>
      </c>
      <c r="T1576" s="1">
        <v>44422</v>
      </c>
      <c r="U1576">
        <v>37501</v>
      </c>
      <c r="V1576" t="s">
        <v>61</v>
      </c>
      <c r="W1576" t="s">
        <v>3099</v>
      </c>
      <c r="X1576" s="1">
        <v>44425</v>
      </c>
      <c r="Y1576" t="s">
        <v>63</v>
      </c>
      <c r="Z1576">
        <v>276.85000000000002</v>
      </c>
      <c r="AA1576">
        <v>8</v>
      </c>
      <c r="AB1576">
        <v>22.15</v>
      </c>
      <c r="AC1576">
        <v>0</v>
      </c>
      <c r="AD1576">
        <v>299</v>
      </c>
      <c r="AE1576">
        <v>4893.25</v>
      </c>
      <c r="AF1576">
        <v>6000</v>
      </c>
      <c r="AG1576" t="s">
        <v>3105</v>
      </c>
      <c r="AH1576" t="s">
        <v>65</v>
      </c>
      <c r="AI1576" t="s">
        <v>65</v>
      </c>
      <c r="AJ1576" t="s">
        <v>66</v>
      </c>
      <c r="AK1576" t="s">
        <v>66</v>
      </c>
      <c r="AL1576" t="s">
        <v>66</v>
      </c>
      <c r="AM1576" s="2" t="str">
        <f>HYPERLINK("https://transparencia.cidesi.mx/comprobantes/2021/CQ2100661 /C9F111265_LPR090122AU9.pdf")</f>
        <v>https://transparencia.cidesi.mx/comprobantes/2021/CQ2100661 /C9F111265_LPR090122AU9.pdf</v>
      </c>
      <c r="AN1576" t="str">
        <f>HYPERLINK("https://transparencia.cidesi.mx/comprobantes/2021/CQ2100661 /C9F111265_LPR090122AU9.pdf")</f>
        <v>https://transparencia.cidesi.mx/comprobantes/2021/CQ2100661 /C9F111265_LPR090122AU9.pdf</v>
      </c>
      <c r="AO1576" t="str">
        <f>HYPERLINK("https://transparencia.cidesi.mx/comprobantes/2021/CQ2100661 /C9F111265_LPR090122AU9.xml")</f>
        <v>https://transparencia.cidesi.mx/comprobantes/2021/CQ2100661 /C9F111265_LPR090122AU9.xml</v>
      </c>
      <c r="AP1576" t="s">
        <v>3101</v>
      </c>
      <c r="AQ1576" t="s">
        <v>3102</v>
      </c>
      <c r="AR1576" t="s">
        <v>3103</v>
      </c>
      <c r="AS1576" t="s">
        <v>3104</v>
      </c>
      <c r="AT1576" s="1">
        <v>44433</v>
      </c>
      <c r="AU1576" s="1">
        <v>44433</v>
      </c>
    </row>
    <row r="1577" spans="1:47" x14ac:dyDescent="0.3">
      <c r="A1577" t="s">
        <v>47</v>
      </c>
      <c r="B1577" t="s">
        <v>48</v>
      </c>
      <c r="C1577" t="s">
        <v>49</v>
      </c>
      <c r="D1577">
        <v>101903</v>
      </c>
      <c r="E1577" t="s">
        <v>3095</v>
      </c>
      <c r="F1577" t="s">
        <v>3096</v>
      </c>
      <c r="G1577" t="s">
        <v>912</v>
      </c>
      <c r="H1577" t="s">
        <v>3097</v>
      </c>
      <c r="I1577" t="s">
        <v>54</v>
      </c>
      <c r="J1577" t="s">
        <v>3098</v>
      </c>
      <c r="K1577" t="s">
        <v>56</v>
      </c>
      <c r="L1577">
        <v>0</v>
      </c>
      <c r="M1577" t="s">
        <v>73</v>
      </c>
      <c r="N1577">
        <v>0</v>
      </c>
      <c r="O1577" t="s">
        <v>58</v>
      </c>
      <c r="P1577" t="s">
        <v>59</v>
      </c>
      <c r="Q1577" t="s">
        <v>355</v>
      </c>
      <c r="R1577" t="s">
        <v>3098</v>
      </c>
      <c r="S1577" s="1">
        <v>44417</v>
      </c>
      <c r="T1577" s="1">
        <v>44422</v>
      </c>
      <c r="U1577">
        <v>37501</v>
      </c>
      <c r="V1577" t="s">
        <v>61</v>
      </c>
      <c r="W1577" t="s">
        <v>3099</v>
      </c>
      <c r="X1577" s="1">
        <v>44425</v>
      </c>
      <c r="Y1577" t="s">
        <v>63</v>
      </c>
      <c r="Z1577">
        <v>254.63</v>
      </c>
      <c r="AA1577">
        <v>8</v>
      </c>
      <c r="AB1577">
        <v>20.37</v>
      </c>
      <c r="AC1577">
        <v>0</v>
      </c>
      <c r="AD1577">
        <v>275</v>
      </c>
      <c r="AE1577">
        <v>4893.25</v>
      </c>
      <c r="AF1577">
        <v>6000</v>
      </c>
      <c r="AG1577" t="s">
        <v>3105</v>
      </c>
      <c r="AH1577" t="s">
        <v>65</v>
      </c>
      <c r="AI1577" t="s">
        <v>65</v>
      </c>
      <c r="AJ1577" t="s">
        <v>66</v>
      </c>
      <c r="AK1577" t="s">
        <v>66</v>
      </c>
      <c r="AL1577" t="s">
        <v>66</v>
      </c>
      <c r="AM1577" s="2" t="str">
        <f>HYPERLINK("https://transparencia.cidesi.mx/comprobantes/2021/CQ2100661 /C10F124BD49C_TFM171018KIA.pdf")</f>
        <v>https://transparencia.cidesi.mx/comprobantes/2021/CQ2100661 /C10F124BD49C_TFM171018KIA.pdf</v>
      </c>
      <c r="AN1577" t="str">
        <f>HYPERLINK("https://transparencia.cidesi.mx/comprobantes/2021/CQ2100661 /C10F124BD49C_TFM171018KIA.pdf")</f>
        <v>https://transparencia.cidesi.mx/comprobantes/2021/CQ2100661 /C10F124BD49C_TFM171018KIA.pdf</v>
      </c>
      <c r="AO1577" t="str">
        <f>HYPERLINK("https://transparencia.cidesi.mx/comprobantes/2021/CQ2100661 /C10F124BD49C_TFM171018KIA.xml")</f>
        <v>https://transparencia.cidesi.mx/comprobantes/2021/CQ2100661 /C10F124BD49C_TFM171018KIA.xml</v>
      </c>
      <c r="AP1577" t="s">
        <v>3101</v>
      </c>
      <c r="AQ1577" t="s">
        <v>3102</v>
      </c>
      <c r="AR1577" t="s">
        <v>3103</v>
      </c>
      <c r="AS1577" t="s">
        <v>3104</v>
      </c>
      <c r="AT1577" s="1">
        <v>44433</v>
      </c>
      <c r="AU1577" s="1">
        <v>44433</v>
      </c>
    </row>
    <row r="1578" spans="1:47" x14ac:dyDescent="0.3">
      <c r="A1578" t="s">
        <v>47</v>
      </c>
      <c r="B1578" t="s">
        <v>48</v>
      </c>
      <c r="C1578" t="s">
        <v>49</v>
      </c>
      <c r="D1578">
        <v>101903</v>
      </c>
      <c r="E1578" t="s">
        <v>3095</v>
      </c>
      <c r="F1578" t="s">
        <v>3096</v>
      </c>
      <c r="G1578" t="s">
        <v>912</v>
      </c>
      <c r="H1578" t="s">
        <v>3097</v>
      </c>
      <c r="I1578" t="s">
        <v>54</v>
      </c>
      <c r="J1578" t="s">
        <v>3098</v>
      </c>
      <c r="K1578" t="s">
        <v>56</v>
      </c>
      <c r="L1578">
        <v>0</v>
      </c>
      <c r="M1578" t="s">
        <v>73</v>
      </c>
      <c r="N1578">
        <v>0</v>
      </c>
      <c r="O1578" t="s">
        <v>58</v>
      </c>
      <c r="P1578" t="s">
        <v>59</v>
      </c>
      <c r="Q1578" t="s">
        <v>355</v>
      </c>
      <c r="R1578" t="s">
        <v>3098</v>
      </c>
      <c r="S1578" s="1">
        <v>44417</v>
      </c>
      <c r="T1578" s="1">
        <v>44422</v>
      </c>
      <c r="U1578">
        <v>37501</v>
      </c>
      <c r="V1578" t="s">
        <v>61</v>
      </c>
      <c r="W1578" t="s">
        <v>3099</v>
      </c>
      <c r="X1578" s="1">
        <v>44425</v>
      </c>
      <c r="Y1578" t="s">
        <v>63</v>
      </c>
      <c r="Z1578">
        <v>410.2</v>
      </c>
      <c r="AA1578">
        <v>8</v>
      </c>
      <c r="AB1578">
        <v>32.81</v>
      </c>
      <c r="AC1578">
        <v>0</v>
      </c>
      <c r="AD1578">
        <v>443.01</v>
      </c>
      <c r="AE1578">
        <v>4893.25</v>
      </c>
      <c r="AF1578">
        <v>6000</v>
      </c>
      <c r="AG1578" t="s">
        <v>3105</v>
      </c>
      <c r="AH1578" t="s">
        <v>65</v>
      </c>
      <c r="AI1578" t="s">
        <v>65</v>
      </c>
      <c r="AJ1578" t="s">
        <v>66</v>
      </c>
      <c r="AK1578" t="s">
        <v>66</v>
      </c>
      <c r="AL1578" t="s">
        <v>66</v>
      </c>
      <c r="AM1578" s="2" t="str">
        <f>HYPERLINK("https://transparencia.cidesi.mx/comprobantes/2021/CQ2100661 /C11FA5555_PRL171009NY4.pdf")</f>
        <v>https://transparencia.cidesi.mx/comprobantes/2021/CQ2100661 /C11FA5555_PRL171009NY4.pdf</v>
      </c>
      <c r="AN1578" t="str">
        <f>HYPERLINK("https://transparencia.cidesi.mx/comprobantes/2021/CQ2100661 /C11FA5555_PRL171009NY4.pdf")</f>
        <v>https://transparencia.cidesi.mx/comprobantes/2021/CQ2100661 /C11FA5555_PRL171009NY4.pdf</v>
      </c>
      <c r="AO1578" t="str">
        <f>HYPERLINK("https://transparencia.cidesi.mx/comprobantes/2021/CQ2100661 /C11FA5555_PRL171009NY4.xml")</f>
        <v>https://transparencia.cidesi.mx/comprobantes/2021/CQ2100661 /C11FA5555_PRL171009NY4.xml</v>
      </c>
      <c r="AP1578" t="s">
        <v>3101</v>
      </c>
      <c r="AQ1578" t="s">
        <v>3102</v>
      </c>
      <c r="AR1578" t="s">
        <v>3103</v>
      </c>
      <c r="AS1578" t="s">
        <v>3104</v>
      </c>
      <c r="AT1578" s="1">
        <v>44433</v>
      </c>
      <c r="AU1578" s="1">
        <v>44433</v>
      </c>
    </row>
    <row r="1579" spans="1:47" x14ac:dyDescent="0.3">
      <c r="A1579" t="s">
        <v>47</v>
      </c>
      <c r="B1579" t="s">
        <v>48</v>
      </c>
      <c r="C1579" t="s">
        <v>49</v>
      </c>
      <c r="D1579">
        <v>101903</v>
      </c>
      <c r="E1579" t="s">
        <v>3095</v>
      </c>
      <c r="F1579" t="s">
        <v>3096</v>
      </c>
      <c r="G1579" t="s">
        <v>912</v>
      </c>
      <c r="H1579" t="s">
        <v>3097</v>
      </c>
      <c r="I1579" t="s">
        <v>54</v>
      </c>
      <c r="J1579" t="s">
        <v>3098</v>
      </c>
      <c r="K1579" t="s">
        <v>56</v>
      </c>
      <c r="L1579">
        <v>0</v>
      </c>
      <c r="M1579" t="s">
        <v>73</v>
      </c>
      <c r="N1579">
        <v>0</v>
      </c>
      <c r="O1579" t="s">
        <v>58</v>
      </c>
      <c r="P1579" t="s">
        <v>59</v>
      </c>
      <c r="Q1579" t="s">
        <v>355</v>
      </c>
      <c r="R1579" t="s">
        <v>3098</v>
      </c>
      <c r="S1579" s="1">
        <v>44417</v>
      </c>
      <c r="T1579" s="1">
        <v>44422</v>
      </c>
      <c r="U1579">
        <v>37501</v>
      </c>
      <c r="V1579" t="s">
        <v>61</v>
      </c>
      <c r="W1579" t="s">
        <v>3099</v>
      </c>
      <c r="X1579" s="1">
        <v>44425</v>
      </c>
      <c r="Y1579" t="s">
        <v>63</v>
      </c>
      <c r="Z1579">
        <v>31.94</v>
      </c>
      <c r="AA1579">
        <v>8</v>
      </c>
      <c r="AB1579">
        <v>2.56</v>
      </c>
      <c r="AC1579">
        <v>0</v>
      </c>
      <c r="AD1579">
        <v>34.5</v>
      </c>
      <c r="AE1579">
        <v>4893.25</v>
      </c>
      <c r="AF1579">
        <v>6000</v>
      </c>
      <c r="AG1579" t="s">
        <v>3105</v>
      </c>
      <c r="AH1579" t="s">
        <v>65</v>
      </c>
      <c r="AI1579" t="s">
        <v>65</v>
      </c>
      <c r="AJ1579" t="s">
        <v>66</v>
      </c>
      <c r="AK1579" t="s">
        <v>66</v>
      </c>
      <c r="AL1579" t="s">
        <v>66</v>
      </c>
      <c r="AM1579" s="2" t="str">
        <f>HYPERLINK("https://transparencia.cidesi.mx/comprobantes/2021/CQ2100661 /C12F340865141_CCO8605231N4.pdf")</f>
        <v>https://transparencia.cidesi.mx/comprobantes/2021/CQ2100661 /C12F340865141_CCO8605231N4.pdf</v>
      </c>
      <c r="AN1579" t="str">
        <f>HYPERLINK("https://transparencia.cidesi.mx/comprobantes/2021/CQ2100661 /C12F340865141_CCO8605231N4.pdf")</f>
        <v>https://transparencia.cidesi.mx/comprobantes/2021/CQ2100661 /C12F340865141_CCO8605231N4.pdf</v>
      </c>
      <c r="AO1579" t="str">
        <f>HYPERLINK("https://transparencia.cidesi.mx/comprobantes/2021/CQ2100661 /C12F340865141_CCO8605231N4.xml")</f>
        <v>https://transparencia.cidesi.mx/comprobantes/2021/CQ2100661 /C12F340865141_CCO8605231N4.xml</v>
      </c>
      <c r="AP1579" t="s">
        <v>3101</v>
      </c>
      <c r="AQ1579" t="s">
        <v>3102</v>
      </c>
      <c r="AR1579" t="s">
        <v>3103</v>
      </c>
      <c r="AS1579" t="s">
        <v>3104</v>
      </c>
      <c r="AT1579" s="1">
        <v>44433</v>
      </c>
      <c r="AU1579" s="1">
        <v>44433</v>
      </c>
    </row>
    <row r="1580" spans="1:47" x14ac:dyDescent="0.3">
      <c r="A1580" t="s">
        <v>47</v>
      </c>
      <c r="B1580" t="s">
        <v>48</v>
      </c>
      <c r="C1580" t="s">
        <v>49</v>
      </c>
      <c r="D1580">
        <v>101903</v>
      </c>
      <c r="E1580" t="s">
        <v>3095</v>
      </c>
      <c r="F1580" t="s">
        <v>3096</v>
      </c>
      <c r="G1580" t="s">
        <v>912</v>
      </c>
      <c r="H1580" t="s">
        <v>3097</v>
      </c>
      <c r="I1580" t="s">
        <v>54</v>
      </c>
      <c r="J1580" t="s">
        <v>3098</v>
      </c>
      <c r="K1580" t="s">
        <v>56</v>
      </c>
      <c r="L1580">
        <v>0</v>
      </c>
      <c r="M1580" t="s">
        <v>73</v>
      </c>
      <c r="N1580">
        <v>0</v>
      </c>
      <c r="O1580" t="s">
        <v>58</v>
      </c>
      <c r="P1580" t="s">
        <v>59</v>
      </c>
      <c r="Q1580" t="s">
        <v>355</v>
      </c>
      <c r="R1580" t="s">
        <v>3098</v>
      </c>
      <c r="S1580" s="1">
        <v>44417</v>
      </c>
      <c r="T1580" s="1">
        <v>44422</v>
      </c>
      <c r="U1580">
        <v>37501</v>
      </c>
      <c r="V1580" t="s">
        <v>61</v>
      </c>
      <c r="W1580" t="s">
        <v>3099</v>
      </c>
      <c r="X1580" s="1">
        <v>44425</v>
      </c>
      <c r="Y1580" t="s">
        <v>63</v>
      </c>
      <c r="Z1580">
        <v>77.83</v>
      </c>
      <c r="AA1580">
        <v>8</v>
      </c>
      <c r="AB1580">
        <v>5.17</v>
      </c>
      <c r="AC1580">
        <v>0</v>
      </c>
      <c r="AD1580">
        <v>83</v>
      </c>
      <c r="AE1580">
        <v>4893.25</v>
      </c>
      <c r="AF1580">
        <v>6000</v>
      </c>
      <c r="AG1580" t="s">
        <v>3105</v>
      </c>
      <c r="AH1580" t="s">
        <v>65</v>
      </c>
      <c r="AI1580" t="s">
        <v>65</v>
      </c>
      <c r="AJ1580" t="s">
        <v>66</v>
      </c>
      <c r="AK1580" t="s">
        <v>66</v>
      </c>
      <c r="AL1580" t="s">
        <v>66</v>
      </c>
      <c r="AM1580" s="2" t="str">
        <f>HYPERLINK("https://transparencia.cidesi.mx/comprobantes/2021/CQ2100661 /C13F340865379_CCO8605231N4.pdf")</f>
        <v>https://transparencia.cidesi.mx/comprobantes/2021/CQ2100661 /C13F340865379_CCO8605231N4.pdf</v>
      </c>
      <c r="AN1580" t="str">
        <f>HYPERLINK("https://transparencia.cidesi.mx/comprobantes/2021/CQ2100661 /C13F340865379_CCO8605231N4.pdf")</f>
        <v>https://transparencia.cidesi.mx/comprobantes/2021/CQ2100661 /C13F340865379_CCO8605231N4.pdf</v>
      </c>
      <c r="AO1580" t="str">
        <f>HYPERLINK("https://transparencia.cidesi.mx/comprobantes/2021/CQ2100661 /C13F340865379_CCO8605231N4.xml")</f>
        <v>https://transparencia.cidesi.mx/comprobantes/2021/CQ2100661 /C13F340865379_CCO8605231N4.xml</v>
      </c>
      <c r="AP1580" t="s">
        <v>3101</v>
      </c>
      <c r="AQ1580" t="s">
        <v>3102</v>
      </c>
      <c r="AR1580" t="s">
        <v>3103</v>
      </c>
      <c r="AS1580" t="s">
        <v>3104</v>
      </c>
      <c r="AT1580" s="1">
        <v>44433</v>
      </c>
      <c r="AU1580" s="1">
        <v>44433</v>
      </c>
    </row>
    <row r="1581" spans="1:47" x14ac:dyDescent="0.3">
      <c r="A1581" t="s">
        <v>47</v>
      </c>
      <c r="B1581" t="s">
        <v>48</v>
      </c>
      <c r="C1581" t="s">
        <v>49</v>
      </c>
      <c r="D1581">
        <v>101903</v>
      </c>
      <c r="E1581" t="s">
        <v>3095</v>
      </c>
      <c r="F1581" t="s">
        <v>3096</v>
      </c>
      <c r="G1581" t="s">
        <v>912</v>
      </c>
      <c r="H1581" t="s">
        <v>3097</v>
      </c>
      <c r="I1581" t="s">
        <v>54</v>
      </c>
      <c r="J1581" t="s">
        <v>3098</v>
      </c>
      <c r="K1581" t="s">
        <v>56</v>
      </c>
      <c r="L1581">
        <v>0</v>
      </c>
      <c r="M1581" t="s">
        <v>73</v>
      </c>
      <c r="N1581">
        <v>0</v>
      </c>
      <c r="O1581" t="s">
        <v>58</v>
      </c>
      <c r="P1581" t="s">
        <v>59</v>
      </c>
      <c r="Q1581" t="s">
        <v>355</v>
      </c>
      <c r="R1581" t="s">
        <v>3098</v>
      </c>
      <c r="S1581" s="1">
        <v>44417</v>
      </c>
      <c r="T1581" s="1">
        <v>44422</v>
      </c>
      <c r="U1581">
        <v>37501</v>
      </c>
      <c r="V1581" t="s">
        <v>61</v>
      </c>
      <c r="W1581" t="s">
        <v>3099</v>
      </c>
      <c r="X1581" s="1">
        <v>44425</v>
      </c>
      <c r="Y1581" t="s">
        <v>63</v>
      </c>
      <c r="Z1581">
        <v>65.8</v>
      </c>
      <c r="AA1581">
        <v>8</v>
      </c>
      <c r="AB1581">
        <v>3.7</v>
      </c>
      <c r="AC1581">
        <v>0</v>
      </c>
      <c r="AD1581">
        <v>69.5</v>
      </c>
      <c r="AE1581">
        <v>4893.25</v>
      </c>
      <c r="AF1581">
        <v>6000</v>
      </c>
      <c r="AG1581" t="s">
        <v>3105</v>
      </c>
      <c r="AH1581" t="s">
        <v>65</v>
      </c>
      <c r="AI1581" t="s">
        <v>65</v>
      </c>
      <c r="AJ1581" t="s">
        <v>66</v>
      </c>
      <c r="AK1581" t="s">
        <v>66</v>
      </c>
      <c r="AL1581" t="s">
        <v>66</v>
      </c>
      <c r="AM1581" s="2" t="str">
        <f>HYPERLINK("https://transparencia.cidesi.mx/comprobantes/2021/CQ2100661 /C14F340865581_CCO8605231N4.pdf")</f>
        <v>https://transparencia.cidesi.mx/comprobantes/2021/CQ2100661 /C14F340865581_CCO8605231N4.pdf</v>
      </c>
      <c r="AN1581" t="str">
        <f>HYPERLINK("https://transparencia.cidesi.mx/comprobantes/2021/CQ2100661 /C14F340865581_CCO8605231N4.pdf")</f>
        <v>https://transparencia.cidesi.mx/comprobantes/2021/CQ2100661 /C14F340865581_CCO8605231N4.pdf</v>
      </c>
      <c r="AO1581" t="str">
        <f>HYPERLINK("https://transparencia.cidesi.mx/comprobantes/2021/CQ2100661 /C14F340865581_CCO8605231N4.xml")</f>
        <v>https://transparencia.cidesi.mx/comprobantes/2021/CQ2100661 /C14F340865581_CCO8605231N4.xml</v>
      </c>
      <c r="AP1581" t="s">
        <v>3101</v>
      </c>
      <c r="AQ1581" t="s">
        <v>3102</v>
      </c>
      <c r="AR1581" t="s">
        <v>3103</v>
      </c>
      <c r="AS1581" t="s">
        <v>3104</v>
      </c>
      <c r="AT1581" s="1">
        <v>44433</v>
      </c>
      <c r="AU1581" s="1">
        <v>44433</v>
      </c>
    </row>
    <row r="1582" spans="1:47" x14ac:dyDescent="0.3">
      <c r="A1582" t="s">
        <v>47</v>
      </c>
      <c r="B1582" t="s">
        <v>48</v>
      </c>
      <c r="C1582" t="s">
        <v>49</v>
      </c>
      <c r="D1582">
        <v>101903</v>
      </c>
      <c r="E1582" t="s">
        <v>3095</v>
      </c>
      <c r="F1582" t="s">
        <v>3096</v>
      </c>
      <c r="G1582" t="s">
        <v>912</v>
      </c>
      <c r="H1582" t="s">
        <v>3097</v>
      </c>
      <c r="I1582" t="s">
        <v>54</v>
      </c>
      <c r="J1582" t="s">
        <v>3098</v>
      </c>
      <c r="K1582" t="s">
        <v>56</v>
      </c>
      <c r="L1582">
        <v>0</v>
      </c>
      <c r="M1582" t="s">
        <v>73</v>
      </c>
      <c r="N1582">
        <v>0</v>
      </c>
      <c r="O1582" t="s">
        <v>58</v>
      </c>
      <c r="P1582" t="s">
        <v>59</v>
      </c>
      <c r="Q1582" t="s">
        <v>355</v>
      </c>
      <c r="R1582" t="s">
        <v>3098</v>
      </c>
      <c r="S1582" s="1">
        <v>44417</v>
      </c>
      <c r="T1582" s="1">
        <v>44422</v>
      </c>
      <c r="U1582">
        <v>37501</v>
      </c>
      <c r="V1582" t="s">
        <v>61</v>
      </c>
      <c r="W1582" t="s">
        <v>3099</v>
      </c>
      <c r="X1582" s="1">
        <v>44425</v>
      </c>
      <c r="Y1582" t="s">
        <v>63</v>
      </c>
      <c r="Z1582">
        <v>172.41</v>
      </c>
      <c r="AA1582">
        <v>16</v>
      </c>
      <c r="AB1582">
        <v>27.59</v>
      </c>
      <c r="AC1582">
        <v>20</v>
      </c>
      <c r="AD1582">
        <v>220</v>
      </c>
      <c r="AE1582">
        <v>4893.25</v>
      </c>
      <c r="AF1582">
        <v>6000</v>
      </c>
      <c r="AG1582" t="s">
        <v>3105</v>
      </c>
      <c r="AH1582" t="s">
        <v>65</v>
      </c>
      <c r="AI1582" t="s">
        <v>65</v>
      </c>
      <c r="AJ1582" t="s">
        <v>66</v>
      </c>
      <c r="AK1582" t="s">
        <v>66</v>
      </c>
      <c r="AL1582" t="s">
        <v>66</v>
      </c>
      <c r="AM1582" s="2" t="str">
        <f>HYPERLINK("https://transparencia.cidesi.mx/comprobantes/2021/CQ2100661 /C15F162555_SLE0008119V5.pdf")</f>
        <v>https://transparencia.cidesi.mx/comprobantes/2021/CQ2100661 /C15F162555_SLE0008119V5.pdf</v>
      </c>
      <c r="AN1582" t="str">
        <f>HYPERLINK("https://transparencia.cidesi.mx/comprobantes/2021/CQ2100661 /C15F162555_SLE0008119V5.pdf")</f>
        <v>https://transparencia.cidesi.mx/comprobantes/2021/CQ2100661 /C15F162555_SLE0008119V5.pdf</v>
      </c>
      <c r="AO1582" t="str">
        <f>HYPERLINK("https://transparencia.cidesi.mx/comprobantes/2021/CQ2100661 /C15F162555_SLE0008119V5.xml")</f>
        <v>https://transparencia.cidesi.mx/comprobantes/2021/CQ2100661 /C15F162555_SLE0008119V5.xml</v>
      </c>
      <c r="AP1582" t="s">
        <v>3101</v>
      </c>
      <c r="AQ1582" t="s">
        <v>3102</v>
      </c>
      <c r="AR1582" t="s">
        <v>3103</v>
      </c>
      <c r="AS1582" t="s">
        <v>3104</v>
      </c>
      <c r="AT1582" s="1">
        <v>44433</v>
      </c>
      <c r="AU1582" s="1">
        <v>44433</v>
      </c>
    </row>
    <row r="1583" spans="1:47" x14ac:dyDescent="0.3">
      <c r="A1583" t="s">
        <v>47</v>
      </c>
      <c r="B1583" t="s">
        <v>48</v>
      </c>
      <c r="C1583" t="s">
        <v>49</v>
      </c>
      <c r="D1583">
        <v>101903</v>
      </c>
      <c r="E1583" t="s">
        <v>3095</v>
      </c>
      <c r="F1583" t="s">
        <v>3096</v>
      </c>
      <c r="G1583" t="s">
        <v>912</v>
      </c>
      <c r="H1583" t="s">
        <v>3106</v>
      </c>
      <c r="I1583" t="s">
        <v>54</v>
      </c>
      <c r="J1583" t="s">
        <v>3107</v>
      </c>
      <c r="K1583" t="s">
        <v>56</v>
      </c>
      <c r="L1583">
        <v>0</v>
      </c>
      <c r="M1583" t="s">
        <v>73</v>
      </c>
      <c r="N1583">
        <v>0</v>
      </c>
      <c r="O1583" t="s">
        <v>58</v>
      </c>
      <c r="P1583" t="s">
        <v>59</v>
      </c>
      <c r="Q1583" t="s">
        <v>60</v>
      </c>
      <c r="R1583" t="s">
        <v>3107</v>
      </c>
      <c r="S1583" s="1">
        <v>44466</v>
      </c>
      <c r="T1583" s="1">
        <v>44466</v>
      </c>
      <c r="U1583">
        <v>37501</v>
      </c>
      <c r="V1583" t="s">
        <v>61</v>
      </c>
      <c r="W1583" t="s">
        <v>3108</v>
      </c>
      <c r="X1583" s="1">
        <v>44470</v>
      </c>
      <c r="Y1583" t="s">
        <v>63</v>
      </c>
      <c r="Z1583">
        <v>228.45</v>
      </c>
      <c r="AA1583">
        <v>16</v>
      </c>
      <c r="AB1583">
        <v>36.549999999999997</v>
      </c>
      <c r="AC1583">
        <v>0</v>
      </c>
      <c r="AD1583">
        <v>265</v>
      </c>
      <c r="AE1583">
        <v>526</v>
      </c>
      <c r="AF1583">
        <v>545</v>
      </c>
      <c r="AG1583" t="s">
        <v>3105</v>
      </c>
      <c r="AH1583" t="s">
        <v>65</v>
      </c>
      <c r="AI1583" t="s">
        <v>65</v>
      </c>
      <c r="AJ1583" t="s">
        <v>66</v>
      </c>
      <c r="AK1583" t="s">
        <v>66</v>
      </c>
      <c r="AL1583" t="s">
        <v>66</v>
      </c>
      <c r="AM1583" s="2" t="str">
        <f>HYPERLINK("https://transparencia.cidesi.mx/comprobantes/2021/CQ2100926 /C1F0007516_ECM1302083N0.pdf")</f>
        <v>https://transparencia.cidesi.mx/comprobantes/2021/CQ2100926 /C1F0007516_ECM1302083N0.pdf</v>
      </c>
      <c r="AN1583" t="str">
        <f>HYPERLINK("https://transparencia.cidesi.mx/comprobantes/2021/CQ2100926 /C1F0007516_ECM1302083N0.pdf")</f>
        <v>https://transparencia.cidesi.mx/comprobantes/2021/CQ2100926 /C1F0007516_ECM1302083N0.pdf</v>
      </c>
      <c r="AO1583" t="str">
        <f>HYPERLINK("https://transparencia.cidesi.mx/comprobantes/2021/CQ2100926 /C1F0007516_ECM1302083N0.xml")</f>
        <v>https://transparencia.cidesi.mx/comprobantes/2021/CQ2100926 /C1F0007516_ECM1302083N0.xml</v>
      </c>
      <c r="AP1583" t="s">
        <v>3109</v>
      </c>
      <c r="AQ1583" t="s">
        <v>3110</v>
      </c>
      <c r="AR1583" t="s">
        <v>3111</v>
      </c>
      <c r="AS1583" t="s">
        <v>3112</v>
      </c>
      <c r="AT1583" s="1">
        <v>44470</v>
      </c>
      <c r="AU1583" s="1">
        <v>44470</v>
      </c>
    </row>
    <row r="1584" spans="1:47" x14ac:dyDescent="0.3">
      <c r="A1584" t="s">
        <v>47</v>
      </c>
      <c r="B1584" t="s">
        <v>48</v>
      </c>
      <c r="C1584" t="s">
        <v>49</v>
      </c>
      <c r="D1584">
        <v>101903</v>
      </c>
      <c r="E1584" t="s">
        <v>3095</v>
      </c>
      <c r="F1584" t="s">
        <v>3096</v>
      </c>
      <c r="G1584" t="s">
        <v>912</v>
      </c>
      <c r="H1584" t="s">
        <v>3106</v>
      </c>
      <c r="I1584" t="s">
        <v>54</v>
      </c>
      <c r="J1584" t="s">
        <v>3107</v>
      </c>
      <c r="K1584" t="s">
        <v>56</v>
      </c>
      <c r="L1584">
        <v>0</v>
      </c>
      <c r="M1584" t="s">
        <v>73</v>
      </c>
      <c r="N1584">
        <v>0</v>
      </c>
      <c r="O1584" t="s">
        <v>58</v>
      </c>
      <c r="P1584" t="s">
        <v>59</v>
      </c>
      <c r="Q1584" t="s">
        <v>60</v>
      </c>
      <c r="R1584" t="s">
        <v>3107</v>
      </c>
      <c r="S1584" s="1">
        <v>44466</v>
      </c>
      <c r="T1584" s="1">
        <v>44466</v>
      </c>
      <c r="U1584">
        <v>37501</v>
      </c>
      <c r="V1584" t="s">
        <v>61</v>
      </c>
      <c r="W1584" t="s">
        <v>3108</v>
      </c>
      <c r="X1584" s="1">
        <v>44470</v>
      </c>
      <c r="Y1584" t="s">
        <v>63</v>
      </c>
      <c r="Z1584">
        <v>225</v>
      </c>
      <c r="AA1584">
        <v>16</v>
      </c>
      <c r="AB1584">
        <v>36</v>
      </c>
      <c r="AC1584">
        <v>0</v>
      </c>
      <c r="AD1584">
        <v>261</v>
      </c>
      <c r="AE1584">
        <v>526</v>
      </c>
      <c r="AF1584">
        <v>545</v>
      </c>
      <c r="AG1584" t="s">
        <v>3105</v>
      </c>
      <c r="AH1584" t="s">
        <v>66</v>
      </c>
      <c r="AI1584" t="s">
        <v>65</v>
      </c>
      <c r="AJ1584" t="s">
        <v>66</v>
      </c>
      <c r="AK1584" t="s">
        <v>66</v>
      </c>
      <c r="AL1584" t="s">
        <v>66</v>
      </c>
      <c r="AM1584" s="2" t="str">
        <f>HYPERLINK("https://transparencia.cidesi.mx/comprobantes/2021/CQ2100926 /C2F7B5ED3AEA306_CAAG710210JC0.pdf")</f>
        <v>https://transparencia.cidesi.mx/comprobantes/2021/CQ2100926 /C2F7B5ED3AEA306_CAAG710210JC0.pdf</v>
      </c>
      <c r="AN1584" t="str">
        <f>HYPERLINK("https://transparencia.cidesi.mx/comprobantes/2021/CQ2100926 /C2F7B5ED3AEA306_CAAG710210JC0.pdf")</f>
        <v>https://transparencia.cidesi.mx/comprobantes/2021/CQ2100926 /C2F7B5ED3AEA306_CAAG710210JC0.pdf</v>
      </c>
      <c r="AO1584" t="str">
        <f>HYPERLINK("https://transparencia.cidesi.mx/comprobantes/2021/CQ2100926 /C2F7B5ED3AEA306_CAAG710210JC0.xml")</f>
        <v>https://transparencia.cidesi.mx/comprobantes/2021/CQ2100926 /C2F7B5ED3AEA306_CAAG710210JC0.xml</v>
      </c>
      <c r="AP1584" t="s">
        <v>3109</v>
      </c>
      <c r="AQ1584" t="s">
        <v>3110</v>
      </c>
      <c r="AR1584" t="s">
        <v>3111</v>
      </c>
      <c r="AS1584" t="s">
        <v>3112</v>
      </c>
      <c r="AT1584" s="1">
        <v>44470</v>
      </c>
      <c r="AU1584" s="1">
        <v>44470</v>
      </c>
    </row>
    <row r="1585" spans="1:47" x14ac:dyDescent="0.3">
      <c r="A1585" t="s">
        <v>3113</v>
      </c>
      <c r="B1585" t="s">
        <v>80</v>
      </c>
      <c r="C1585" t="s">
        <v>81</v>
      </c>
      <c r="D1585">
        <v>101906</v>
      </c>
      <c r="E1585" t="s">
        <v>3114</v>
      </c>
      <c r="F1585" t="s">
        <v>1765</v>
      </c>
      <c r="G1585" t="s">
        <v>3115</v>
      </c>
      <c r="H1585" t="s">
        <v>3116</v>
      </c>
      <c r="I1585" t="s">
        <v>54</v>
      </c>
      <c r="J1585" t="s">
        <v>3117</v>
      </c>
      <c r="K1585" t="s">
        <v>56</v>
      </c>
      <c r="L1585">
        <v>0</v>
      </c>
      <c r="M1585" t="s">
        <v>73</v>
      </c>
      <c r="N1585">
        <v>0</v>
      </c>
      <c r="O1585" t="s">
        <v>58</v>
      </c>
      <c r="P1585" t="s">
        <v>59</v>
      </c>
      <c r="Q1585" t="s">
        <v>60</v>
      </c>
      <c r="R1585" t="s">
        <v>3117</v>
      </c>
      <c r="S1585" s="1">
        <v>44378</v>
      </c>
      <c r="T1585" s="1">
        <v>44378</v>
      </c>
      <c r="U1585">
        <v>37501</v>
      </c>
      <c r="V1585" t="s">
        <v>61</v>
      </c>
      <c r="W1585" t="s">
        <v>3118</v>
      </c>
      <c r="X1585" s="1">
        <v>44384</v>
      </c>
      <c r="Y1585" t="s">
        <v>63</v>
      </c>
      <c r="Z1585">
        <v>524.03</v>
      </c>
      <c r="AA1585">
        <v>16</v>
      </c>
      <c r="AB1585">
        <v>36.97</v>
      </c>
      <c r="AC1585">
        <v>0</v>
      </c>
      <c r="AD1585">
        <v>561</v>
      </c>
      <c r="AE1585">
        <v>561</v>
      </c>
      <c r="AF1585">
        <v>545</v>
      </c>
      <c r="AG1585" t="s">
        <v>3119</v>
      </c>
      <c r="AH1585" t="s">
        <v>65</v>
      </c>
      <c r="AI1585" t="s">
        <v>65</v>
      </c>
      <c r="AJ1585" t="s">
        <v>66</v>
      </c>
      <c r="AK1585" t="s">
        <v>66</v>
      </c>
      <c r="AL1585" t="s">
        <v>66</v>
      </c>
      <c r="AM1585" s="2" t="str">
        <f>HYPERLINK("https://transparencia.cidesi.mx/comprobantes/2021/CQ2100479 /C121C071974.pdf")</f>
        <v>https://transparencia.cidesi.mx/comprobantes/2021/CQ2100479 /C121C071974.pdf</v>
      </c>
      <c r="AN1585" t="str">
        <f>HYPERLINK("https://transparencia.cidesi.mx/comprobantes/2021/CQ2100479 /C121C071974.pdf")</f>
        <v>https://transparencia.cidesi.mx/comprobantes/2021/CQ2100479 /C121C071974.pdf</v>
      </c>
      <c r="AO1585" t="str">
        <f>HYPERLINK("https://transparencia.cidesi.mx/comprobantes/2021/CQ2100479 /C121C071974.xml")</f>
        <v>https://transparencia.cidesi.mx/comprobantes/2021/CQ2100479 /C121C071974.xml</v>
      </c>
      <c r="AP1585" t="s">
        <v>3120</v>
      </c>
      <c r="AQ1585" t="s">
        <v>3121</v>
      </c>
      <c r="AR1585" t="s">
        <v>3122</v>
      </c>
      <c r="AS1585" t="s">
        <v>3123</v>
      </c>
      <c r="AT1585" s="1">
        <v>44399</v>
      </c>
      <c r="AU1585" s="1">
        <v>44425</v>
      </c>
    </row>
    <row r="1586" spans="1:47" x14ac:dyDescent="0.3">
      <c r="A1586" t="s">
        <v>3113</v>
      </c>
      <c r="B1586" t="s">
        <v>80</v>
      </c>
      <c r="C1586" t="s">
        <v>81</v>
      </c>
      <c r="D1586">
        <v>101906</v>
      </c>
      <c r="E1586" t="s">
        <v>3114</v>
      </c>
      <c r="F1586" t="s">
        <v>1765</v>
      </c>
      <c r="G1586" t="s">
        <v>3115</v>
      </c>
      <c r="H1586" t="s">
        <v>3124</v>
      </c>
      <c r="I1586" t="s">
        <v>54</v>
      </c>
      <c r="J1586" t="s">
        <v>3125</v>
      </c>
      <c r="K1586" t="s">
        <v>56</v>
      </c>
      <c r="L1586">
        <v>101891</v>
      </c>
      <c r="M1586" t="s">
        <v>3126</v>
      </c>
      <c r="N1586">
        <v>0</v>
      </c>
      <c r="O1586" t="s">
        <v>58</v>
      </c>
      <c r="P1586" t="s">
        <v>59</v>
      </c>
      <c r="Q1586" t="s">
        <v>60</v>
      </c>
      <c r="R1586" t="s">
        <v>3125</v>
      </c>
      <c r="S1586" s="1">
        <v>44408</v>
      </c>
      <c r="T1586" s="1">
        <v>44408</v>
      </c>
      <c r="U1586">
        <v>37501</v>
      </c>
      <c r="V1586" t="s">
        <v>61</v>
      </c>
      <c r="W1586" t="s">
        <v>3127</v>
      </c>
      <c r="X1586" s="1">
        <v>44413</v>
      </c>
      <c r="Y1586" t="s">
        <v>63</v>
      </c>
      <c r="Z1586">
        <v>0.1</v>
      </c>
      <c r="AA1586">
        <v>0</v>
      </c>
      <c r="AB1586">
        <v>0</v>
      </c>
      <c r="AC1586">
        <v>0</v>
      </c>
      <c r="AD1586">
        <v>0.1</v>
      </c>
      <c r="AE1586">
        <v>0.1</v>
      </c>
      <c r="AF1586">
        <v>1034</v>
      </c>
      <c r="AG1586" t="s">
        <v>3119</v>
      </c>
      <c r="AH1586" t="s">
        <v>66</v>
      </c>
      <c r="AI1586" t="s">
        <v>66</v>
      </c>
      <c r="AJ1586" t="s">
        <v>66</v>
      </c>
      <c r="AK1586" t="s">
        <v>66</v>
      </c>
      <c r="AL1586" t="s">
        <v>66</v>
      </c>
      <c r="AM1586" s="2" t="s">
        <v>73</v>
      </c>
      <c r="AN1586" t="s">
        <v>73</v>
      </c>
      <c r="AO1586" t="s">
        <v>73</v>
      </c>
      <c r="AP1586" t="s">
        <v>1986</v>
      </c>
      <c r="AQ1586" t="s">
        <v>1986</v>
      </c>
      <c r="AR1586" t="s">
        <v>1986</v>
      </c>
      <c r="AS1586" t="s">
        <v>1986</v>
      </c>
      <c r="AT1586" s="1">
        <v>44413</v>
      </c>
      <c r="AU1586" s="1">
        <v>44424</v>
      </c>
    </row>
    <row r="1587" spans="1:47" x14ac:dyDescent="0.3">
      <c r="A1587" t="s">
        <v>3113</v>
      </c>
      <c r="B1587" t="s">
        <v>80</v>
      </c>
      <c r="C1587" t="s">
        <v>81</v>
      </c>
      <c r="D1587">
        <v>101906</v>
      </c>
      <c r="E1587" t="s">
        <v>3114</v>
      </c>
      <c r="F1587" t="s">
        <v>1765</v>
      </c>
      <c r="G1587" t="s">
        <v>3115</v>
      </c>
      <c r="H1587" t="s">
        <v>3128</v>
      </c>
      <c r="I1587" t="s">
        <v>54</v>
      </c>
      <c r="J1587" t="s">
        <v>3129</v>
      </c>
      <c r="K1587" t="s">
        <v>56</v>
      </c>
      <c r="L1587">
        <v>0</v>
      </c>
      <c r="M1587" t="s">
        <v>73</v>
      </c>
      <c r="N1587">
        <v>0</v>
      </c>
      <c r="O1587" t="s">
        <v>58</v>
      </c>
      <c r="P1587" t="s">
        <v>59</v>
      </c>
      <c r="Q1587" t="s">
        <v>189</v>
      </c>
      <c r="R1587" t="s">
        <v>3129</v>
      </c>
      <c r="S1587" s="1">
        <v>44440</v>
      </c>
      <c r="T1587" s="1">
        <v>44440</v>
      </c>
      <c r="U1587">
        <v>37104</v>
      </c>
      <c r="V1587" t="s">
        <v>471</v>
      </c>
      <c r="W1587" t="s">
        <v>3130</v>
      </c>
      <c r="X1587" s="1">
        <v>44441</v>
      </c>
      <c r="Y1587" t="s">
        <v>100</v>
      </c>
      <c r="Z1587">
        <v>3701.52</v>
      </c>
      <c r="AA1587">
        <v>16</v>
      </c>
      <c r="AB1587">
        <v>498.48</v>
      </c>
      <c r="AC1587">
        <v>0</v>
      </c>
      <c r="AD1587">
        <v>4200</v>
      </c>
      <c r="AE1587">
        <v>4200</v>
      </c>
      <c r="AF1587">
        <v>0</v>
      </c>
      <c r="AG1587" t="s">
        <v>3131</v>
      </c>
      <c r="AH1587" t="s">
        <v>66</v>
      </c>
      <c r="AI1587" t="s">
        <v>65</v>
      </c>
      <c r="AJ1587" t="s">
        <v>66</v>
      </c>
      <c r="AK1587" t="s">
        <v>66</v>
      </c>
      <c r="AL1587" t="s">
        <v>66</v>
      </c>
      <c r="AM1587" s="2" t="str">
        <f>HYPERLINK("https://transparencia.cidesi.mx/comprobantes/2021/CAQ210032 /C1F1392124005241.pdf")</f>
        <v>https://transparencia.cidesi.mx/comprobantes/2021/CAQ210032 /C1F1392124005241.pdf</v>
      </c>
      <c r="AN1587" t="str">
        <f>HYPERLINK("https://transparencia.cidesi.mx/comprobantes/2021/CAQ210032 /C1F1392124005241.pdf")</f>
        <v>https://transparencia.cidesi.mx/comprobantes/2021/CAQ210032 /C1F1392124005241.pdf</v>
      </c>
      <c r="AO1587" t="str">
        <f>HYPERLINK("https://transparencia.cidesi.mx/comprobantes/2021/CAQ210032 /C1F1392124005241.xml")</f>
        <v>https://transparencia.cidesi.mx/comprobantes/2021/CAQ210032 /C1F1392124005241.xml</v>
      </c>
      <c r="AP1587" t="s">
        <v>3132</v>
      </c>
      <c r="AQ1587" t="s">
        <v>3132</v>
      </c>
      <c r="AR1587" t="s">
        <v>92</v>
      </c>
      <c r="AS1587" t="s">
        <v>3133</v>
      </c>
      <c r="AT1587" s="1">
        <v>44462</v>
      </c>
      <c r="AU1587" t="s">
        <v>73</v>
      </c>
    </row>
    <row r="1588" spans="1:47" x14ac:dyDescent="0.3">
      <c r="A1588" t="s">
        <v>3113</v>
      </c>
      <c r="B1588" t="s">
        <v>80</v>
      </c>
      <c r="C1588" t="s">
        <v>81</v>
      </c>
      <c r="D1588">
        <v>101906</v>
      </c>
      <c r="E1588" t="s">
        <v>3114</v>
      </c>
      <c r="F1588" t="s">
        <v>1765</v>
      </c>
      <c r="G1588" t="s">
        <v>3115</v>
      </c>
      <c r="H1588" t="s">
        <v>3134</v>
      </c>
      <c r="I1588" t="s">
        <v>54</v>
      </c>
      <c r="J1588" t="s">
        <v>3135</v>
      </c>
      <c r="K1588" t="s">
        <v>56</v>
      </c>
      <c r="L1588">
        <v>0</v>
      </c>
      <c r="M1588" t="s">
        <v>73</v>
      </c>
      <c r="N1588">
        <v>0</v>
      </c>
      <c r="O1588" t="s">
        <v>58</v>
      </c>
      <c r="P1588" t="s">
        <v>59</v>
      </c>
      <c r="Q1588" t="s">
        <v>460</v>
      </c>
      <c r="R1588" t="s">
        <v>3135</v>
      </c>
      <c r="S1588" s="1">
        <v>44440</v>
      </c>
      <c r="T1588" s="1">
        <v>44443</v>
      </c>
      <c r="U1588">
        <v>37501</v>
      </c>
      <c r="V1588" t="s">
        <v>2322</v>
      </c>
      <c r="W1588" t="s">
        <v>3136</v>
      </c>
      <c r="X1588" s="1">
        <v>44462</v>
      </c>
      <c r="Y1588" t="s">
        <v>100</v>
      </c>
      <c r="Z1588">
        <v>295</v>
      </c>
      <c r="AA1588">
        <v>0</v>
      </c>
      <c r="AB1588">
        <v>0</v>
      </c>
      <c r="AC1588">
        <v>0</v>
      </c>
      <c r="AD1588">
        <v>295</v>
      </c>
      <c r="AE1588">
        <v>5103.55</v>
      </c>
      <c r="AF1588">
        <v>3818</v>
      </c>
      <c r="AG1588" t="s">
        <v>3137</v>
      </c>
      <c r="AH1588" t="s">
        <v>66</v>
      </c>
      <c r="AI1588" t="s">
        <v>66</v>
      </c>
      <c r="AJ1588" t="s">
        <v>66</v>
      </c>
      <c r="AK1588" t="s">
        <v>65</v>
      </c>
      <c r="AL1588" t="s">
        <v>66</v>
      </c>
      <c r="AM1588" s="2" t="s">
        <v>73</v>
      </c>
      <c r="AN1588" t="s">
        <v>73</v>
      </c>
      <c r="AO1588" t="s">
        <v>73</v>
      </c>
      <c r="AP1588" t="s">
        <v>3138</v>
      </c>
      <c r="AQ1588" t="s">
        <v>3139</v>
      </c>
      <c r="AR1588" t="s">
        <v>92</v>
      </c>
      <c r="AS1588" t="s">
        <v>93</v>
      </c>
      <c r="AT1588" s="1">
        <v>44462</v>
      </c>
      <c r="AU1588" t="s">
        <v>73</v>
      </c>
    </row>
    <row r="1589" spans="1:47" x14ac:dyDescent="0.3">
      <c r="A1589" t="s">
        <v>3113</v>
      </c>
      <c r="B1589" t="s">
        <v>80</v>
      </c>
      <c r="C1589" t="s">
        <v>81</v>
      </c>
      <c r="D1589">
        <v>101906</v>
      </c>
      <c r="E1589" t="s">
        <v>3114</v>
      </c>
      <c r="F1589" t="s">
        <v>1765</v>
      </c>
      <c r="G1589" t="s">
        <v>3115</v>
      </c>
      <c r="H1589" t="s">
        <v>3134</v>
      </c>
      <c r="I1589" t="s">
        <v>54</v>
      </c>
      <c r="J1589" t="s">
        <v>3135</v>
      </c>
      <c r="K1589" t="s">
        <v>56</v>
      </c>
      <c r="L1589">
        <v>0</v>
      </c>
      <c r="M1589" t="s">
        <v>73</v>
      </c>
      <c r="N1589">
        <v>0</v>
      </c>
      <c r="O1589" t="s">
        <v>58</v>
      </c>
      <c r="P1589" t="s">
        <v>59</v>
      </c>
      <c r="Q1589" t="s">
        <v>460</v>
      </c>
      <c r="R1589" t="s">
        <v>3135</v>
      </c>
      <c r="S1589" s="1">
        <v>44440</v>
      </c>
      <c r="T1589" s="1">
        <v>44443</v>
      </c>
      <c r="U1589">
        <v>37501</v>
      </c>
      <c r="V1589" t="s">
        <v>104</v>
      </c>
      <c r="W1589" t="s">
        <v>3136</v>
      </c>
      <c r="X1589" s="1">
        <v>44462</v>
      </c>
      <c r="Y1589" t="s">
        <v>100</v>
      </c>
      <c r="Z1589">
        <v>787.23</v>
      </c>
      <c r="AA1589">
        <v>16</v>
      </c>
      <c r="AB1589">
        <v>119.95</v>
      </c>
      <c r="AC1589">
        <v>0</v>
      </c>
      <c r="AD1589">
        <v>907.18</v>
      </c>
      <c r="AE1589">
        <v>5103.55</v>
      </c>
      <c r="AF1589">
        <v>3818</v>
      </c>
      <c r="AG1589" t="s">
        <v>3140</v>
      </c>
      <c r="AH1589" t="s">
        <v>65</v>
      </c>
      <c r="AI1589" t="s">
        <v>65</v>
      </c>
      <c r="AJ1589" t="s">
        <v>66</v>
      </c>
      <c r="AK1589" t="s">
        <v>66</v>
      </c>
      <c r="AL1589" t="s">
        <v>66</v>
      </c>
      <c r="AM1589" s="2" t="str">
        <f>HYPERLINK("https://transparencia.cidesi.mx/comprobantes/2021/CQ2100869 /C2337067.pdf")</f>
        <v>https://transparencia.cidesi.mx/comprobantes/2021/CQ2100869 /C2337067.pdf</v>
      </c>
      <c r="AN1589" t="str">
        <f>HYPERLINK("https://transparencia.cidesi.mx/comprobantes/2021/CQ2100869 /C2337067.pdf")</f>
        <v>https://transparencia.cidesi.mx/comprobantes/2021/CQ2100869 /C2337067.pdf</v>
      </c>
      <c r="AO1589" t="str">
        <f>HYPERLINK("https://transparencia.cidesi.mx/comprobantes/2021/CQ2100869 /C2337067_timbrado.xml")</f>
        <v>https://transparencia.cidesi.mx/comprobantes/2021/CQ2100869 /C2337067_timbrado.xml</v>
      </c>
      <c r="AP1589" t="s">
        <v>3138</v>
      </c>
      <c r="AQ1589" t="s">
        <v>3139</v>
      </c>
      <c r="AR1589" t="s">
        <v>92</v>
      </c>
      <c r="AS1589" t="s">
        <v>93</v>
      </c>
      <c r="AT1589" s="1">
        <v>44462</v>
      </c>
      <c r="AU1589" t="s">
        <v>73</v>
      </c>
    </row>
    <row r="1590" spans="1:47" x14ac:dyDescent="0.3">
      <c r="A1590" t="s">
        <v>3113</v>
      </c>
      <c r="B1590" t="s">
        <v>80</v>
      </c>
      <c r="C1590" t="s">
        <v>81</v>
      </c>
      <c r="D1590">
        <v>101906</v>
      </c>
      <c r="E1590" t="s">
        <v>3114</v>
      </c>
      <c r="F1590" t="s">
        <v>1765</v>
      </c>
      <c r="G1590" t="s">
        <v>3115</v>
      </c>
      <c r="H1590" t="s">
        <v>3134</v>
      </c>
      <c r="I1590" t="s">
        <v>54</v>
      </c>
      <c r="J1590" t="s">
        <v>3135</v>
      </c>
      <c r="K1590" t="s">
        <v>56</v>
      </c>
      <c r="L1590">
        <v>0</v>
      </c>
      <c r="M1590" t="s">
        <v>73</v>
      </c>
      <c r="N1590">
        <v>0</v>
      </c>
      <c r="O1590" t="s">
        <v>58</v>
      </c>
      <c r="P1590" t="s">
        <v>59</v>
      </c>
      <c r="Q1590" t="s">
        <v>460</v>
      </c>
      <c r="R1590" t="s">
        <v>3135</v>
      </c>
      <c r="S1590" s="1">
        <v>44440</v>
      </c>
      <c r="T1590" s="1">
        <v>44443</v>
      </c>
      <c r="U1590">
        <v>37501</v>
      </c>
      <c r="V1590" t="s">
        <v>104</v>
      </c>
      <c r="W1590" t="s">
        <v>3136</v>
      </c>
      <c r="X1590" s="1">
        <v>44462</v>
      </c>
      <c r="Y1590" t="s">
        <v>100</v>
      </c>
      <c r="Z1590">
        <v>25.86</v>
      </c>
      <c r="AA1590">
        <v>16</v>
      </c>
      <c r="AB1590">
        <v>4.1399999999999997</v>
      </c>
      <c r="AC1590">
        <v>0</v>
      </c>
      <c r="AD1590">
        <v>30</v>
      </c>
      <c r="AE1590">
        <v>5103.55</v>
      </c>
      <c r="AF1590">
        <v>3818</v>
      </c>
      <c r="AG1590" t="s">
        <v>3140</v>
      </c>
      <c r="AH1590" t="s">
        <v>66</v>
      </c>
      <c r="AI1590" t="s">
        <v>65</v>
      </c>
      <c r="AJ1590" t="s">
        <v>66</v>
      </c>
      <c r="AK1590" t="s">
        <v>66</v>
      </c>
      <c r="AL1590" t="s">
        <v>66</v>
      </c>
      <c r="AM1590" s="2" t="str">
        <f>HYPERLINK("https://transparencia.cidesi.mx/comprobantes/2021/CQ2100869 /C3337068.pdf")</f>
        <v>https://transparencia.cidesi.mx/comprobantes/2021/CQ2100869 /C3337068.pdf</v>
      </c>
      <c r="AN1590" t="str">
        <f>HYPERLINK("https://transparencia.cidesi.mx/comprobantes/2021/CQ2100869 /C3337068.pdf")</f>
        <v>https://transparencia.cidesi.mx/comprobantes/2021/CQ2100869 /C3337068.pdf</v>
      </c>
      <c r="AO1590" t="str">
        <f>HYPERLINK("https://transparencia.cidesi.mx/comprobantes/2021/CQ2100869 /C3337068_timbrado.xml")</f>
        <v>https://transparencia.cidesi.mx/comprobantes/2021/CQ2100869 /C3337068_timbrado.xml</v>
      </c>
      <c r="AP1590" t="s">
        <v>3138</v>
      </c>
      <c r="AQ1590" t="s">
        <v>3139</v>
      </c>
      <c r="AR1590" t="s">
        <v>92</v>
      </c>
      <c r="AS1590" t="s">
        <v>93</v>
      </c>
      <c r="AT1590" s="1">
        <v>44462</v>
      </c>
      <c r="AU1590" t="s">
        <v>73</v>
      </c>
    </row>
    <row r="1591" spans="1:47" x14ac:dyDescent="0.3">
      <c r="A1591" t="s">
        <v>3113</v>
      </c>
      <c r="B1591" t="s">
        <v>80</v>
      </c>
      <c r="C1591" t="s">
        <v>81</v>
      </c>
      <c r="D1591">
        <v>101906</v>
      </c>
      <c r="E1591" t="s">
        <v>3114</v>
      </c>
      <c r="F1591" t="s">
        <v>1765</v>
      </c>
      <c r="G1591" t="s">
        <v>3115</v>
      </c>
      <c r="H1591" t="s">
        <v>3134</v>
      </c>
      <c r="I1591" t="s">
        <v>54</v>
      </c>
      <c r="J1591" t="s">
        <v>3135</v>
      </c>
      <c r="K1591" t="s">
        <v>56</v>
      </c>
      <c r="L1591">
        <v>0</v>
      </c>
      <c r="M1591" t="s">
        <v>73</v>
      </c>
      <c r="N1591">
        <v>0</v>
      </c>
      <c r="O1591" t="s">
        <v>58</v>
      </c>
      <c r="P1591" t="s">
        <v>59</v>
      </c>
      <c r="Q1591" t="s">
        <v>460</v>
      </c>
      <c r="R1591" t="s">
        <v>3135</v>
      </c>
      <c r="S1591" s="1">
        <v>44440</v>
      </c>
      <c r="T1591" s="1">
        <v>44443</v>
      </c>
      <c r="U1591">
        <v>37501</v>
      </c>
      <c r="V1591" t="s">
        <v>104</v>
      </c>
      <c r="W1591" t="s">
        <v>3136</v>
      </c>
      <c r="X1591" s="1">
        <v>44462</v>
      </c>
      <c r="Y1591" t="s">
        <v>100</v>
      </c>
      <c r="Z1591">
        <v>897.6</v>
      </c>
      <c r="AA1591">
        <v>16</v>
      </c>
      <c r="AB1591">
        <v>140.80000000000001</v>
      </c>
      <c r="AC1591">
        <v>0</v>
      </c>
      <c r="AD1591">
        <v>1038.4000000000001</v>
      </c>
      <c r="AE1591">
        <v>5103.55</v>
      </c>
      <c r="AF1591">
        <v>3818</v>
      </c>
      <c r="AG1591" t="s">
        <v>3140</v>
      </c>
      <c r="AH1591" t="s">
        <v>65</v>
      </c>
      <c r="AI1591" t="s">
        <v>65</v>
      </c>
      <c r="AJ1591" t="s">
        <v>66</v>
      </c>
      <c r="AK1591" t="s">
        <v>66</v>
      </c>
      <c r="AL1591" t="s">
        <v>66</v>
      </c>
      <c r="AM1591" s="2" t="str">
        <f>HYPERLINK("https://transparencia.cidesi.mx/comprobantes/2021/CQ2100869 /C4CCD130408S12-13-09-2021-170830250-827f1a78-a994-41ad-9791-fef68cd2c4eb-A33-32124.pdf")</f>
        <v>https://transparencia.cidesi.mx/comprobantes/2021/CQ2100869 /C4CCD130408S12-13-09-2021-170830250-827f1a78-a994-41ad-9791-fef68cd2c4eb-A33-32124.pdf</v>
      </c>
      <c r="AN1591" t="str">
        <f>HYPERLINK("https://transparencia.cidesi.mx/comprobantes/2021/CQ2100869 /C4CCD130408S12-13-09-2021-170830250-827f1a78-a994-41ad-9791-fef68cd2c4eb-A33-32124.pdf")</f>
        <v>https://transparencia.cidesi.mx/comprobantes/2021/CQ2100869 /C4CCD130408S12-13-09-2021-170830250-827f1a78-a994-41ad-9791-fef68cd2c4eb-A33-32124.pdf</v>
      </c>
      <c r="AO1591" t="str">
        <f>HYPERLINK("https://transparencia.cidesi.mx/comprobantes/2021/CQ2100869 /C4CCD130408S12-13-09-2021-170830250-827f1a78-a994-41ad-9791-fef68cd2c4eb-A33-32124.xml")</f>
        <v>https://transparencia.cidesi.mx/comprobantes/2021/CQ2100869 /C4CCD130408S12-13-09-2021-170830250-827f1a78-a994-41ad-9791-fef68cd2c4eb-A33-32124.xml</v>
      </c>
      <c r="AP1591" t="s">
        <v>3138</v>
      </c>
      <c r="AQ1591" t="s">
        <v>3139</v>
      </c>
      <c r="AR1591" t="s">
        <v>92</v>
      </c>
      <c r="AS1591" t="s">
        <v>93</v>
      </c>
      <c r="AT1591" s="1">
        <v>44462</v>
      </c>
      <c r="AU1591" t="s">
        <v>73</v>
      </c>
    </row>
    <row r="1592" spans="1:47" x14ac:dyDescent="0.3">
      <c r="A1592" t="s">
        <v>3113</v>
      </c>
      <c r="B1592" t="s">
        <v>80</v>
      </c>
      <c r="C1592" t="s">
        <v>81</v>
      </c>
      <c r="D1592">
        <v>101906</v>
      </c>
      <c r="E1592" t="s">
        <v>3114</v>
      </c>
      <c r="F1592" t="s">
        <v>1765</v>
      </c>
      <c r="G1592" t="s">
        <v>3115</v>
      </c>
      <c r="H1592" t="s">
        <v>3134</v>
      </c>
      <c r="I1592" t="s">
        <v>54</v>
      </c>
      <c r="J1592" t="s">
        <v>3135</v>
      </c>
      <c r="K1592" t="s">
        <v>56</v>
      </c>
      <c r="L1592">
        <v>0</v>
      </c>
      <c r="M1592" t="s">
        <v>73</v>
      </c>
      <c r="N1592">
        <v>0</v>
      </c>
      <c r="O1592" t="s">
        <v>58</v>
      </c>
      <c r="P1592" t="s">
        <v>59</v>
      </c>
      <c r="Q1592" t="s">
        <v>460</v>
      </c>
      <c r="R1592" t="s">
        <v>3135</v>
      </c>
      <c r="S1592" s="1">
        <v>44440</v>
      </c>
      <c r="T1592" s="1">
        <v>44443</v>
      </c>
      <c r="U1592">
        <v>37501</v>
      </c>
      <c r="V1592" t="s">
        <v>61</v>
      </c>
      <c r="W1592" t="s">
        <v>3136</v>
      </c>
      <c r="X1592" s="1">
        <v>44462</v>
      </c>
      <c r="Y1592" t="s">
        <v>100</v>
      </c>
      <c r="Z1592">
        <v>145</v>
      </c>
      <c r="AA1592">
        <v>0</v>
      </c>
      <c r="AB1592">
        <v>0</v>
      </c>
      <c r="AC1592">
        <v>0</v>
      </c>
      <c r="AD1592">
        <v>145</v>
      </c>
      <c r="AE1592">
        <v>5103.55</v>
      </c>
      <c r="AF1592">
        <v>3818</v>
      </c>
      <c r="AG1592" t="s">
        <v>3119</v>
      </c>
      <c r="AH1592" t="s">
        <v>66</v>
      </c>
      <c r="AI1592" t="s">
        <v>66</v>
      </c>
      <c r="AJ1592" t="s">
        <v>66</v>
      </c>
      <c r="AK1592" t="s">
        <v>65</v>
      </c>
      <c r="AL1592" t="s">
        <v>66</v>
      </c>
      <c r="AM1592" s="2" t="s">
        <v>73</v>
      </c>
      <c r="AN1592" t="s">
        <v>73</v>
      </c>
      <c r="AO1592" t="s">
        <v>73</v>
      </c>
      <c r="AP1592" t="s">
        <v>3138</v>
      </c>
      <c r="AQ1592" t="s">
        <v>3139</v>
      </c>
      <c r="AR1592" t="s">
        <v>92</v>
      </c>
      <c r="AS1592" t="s">
        <v>93</v>
      </c>
      <c r="AT1592" s="1">
        <v>44462</v>
      </c>
      <c r="AU1592" t="s">
        <v>73</v>
      </c>
    </row>
    <row r="1593" spans="1:47" x14ac:dyDescent="0.3">
      <c r="A1593" t="s">
        <v>3113</v>
      </c>
      <c r="B1593" t="s">
        <v>80</v>
      </c>
      <c r="C1593" t="s">
        <v>81</v>
      </c>
      <c r="D1593">
        <v>101906</v>
      </c>
      <c r="E1593" t="s">
        <v>3114</v>
      </c>
      <c r="F1593" t="s">
        <v>1765</v>
      </c>
      <c r="G1593" t="s">
        <v>3115</v>
      </c>
      <c r="H1593" t="s">
        <v>3134</v>
      </c>
      <c r="I1593" t="s">
        <v>54</v>
      </c>
      <c r="J1593" t="s">
        <v>3135</v>
      </c>
      <c r="K1593" t="s">
        <v>56</v>
      </c>
      <c r="L1593">
        <v>0</v>
      </c>
      <c r="M1593" t="s">
        <v>73</v>
      </c>
      <c r="N1593">
        <v>0</v>
      </c>
      <c r="O1593" t="s">
        <v>58</v>
      </c>
      <c r="P1593" t="s">
        <v>59</v>
      </c>
      <c r="Q1593" t="s">
        <v>460</v>
      </c>
      <c r="R1593" t="s">
        <v>3135</v>
      </c>
      <c r="S1593" s="1">
        <v>44440</v>
      </c>
      <c r="T1593" s="1">
        <v>44443</v>
      </c>
      <c r="U1593">
        <v>37501</v>
      </c>
      <c r="V1593" t="s">
        <v>61</v>
      </c>
      <c r="W1593" t="s">
        <v>3136</v>
      </c>
      <c r="X1593" s="1">
        <v>44462</v>
      </c>
      <c r="Y1593" t="s">
        <v>100</v>
      </c>
      <c r="Z1593">
        <v>219.83</v>
      </c>
      <c r="AA1593">
        <v>16</v>
      </c>
      <c r="AB1593">
        <v>35.17</v>
      </c>
      <c r="AC1593">
        <v>0</v>
      </c>
      <c r="AD1593">
        <v>255</v>
      </c>
      <c r="AE1593">
        <v>5103.55</v>
      </c>
      <c r="AF1593">
        <v>3818</v>
      </c>
      <c r="AG1593" t="s">
        <v>3119</v>
      </c>
      <c r="AH1593" t="s">
        <v>65</v>
      </c>
      <c r="AI1593" t="s">
        <v>65</v>
      </c>
      <c r="AJ1593" t="s">
        <v>66</v>
      </c>
      <c r="AK1593" t="s">
        <v>66</v>
      </c>
      <c r="AL1593" t="s">
        <v>66</v>
      </c>
      <c r="AM1593" s="2" t="str">
        <f>HYPERLINK("https://transparencia.cidesi.mx/comprobantes/2021/CQ2100869 /C6CID840309UG7FHH0000001211.pdf")</f>
        <v>https://transparencia.cidesi.mx/comprobantes/2021/CQ2100869 /C6CID840309UG7FHH0000001211.pdf</v>
      </c>
      <c r="AN1593" t="str">
        <f>HYPERLINK("https://transparencia.cidesi.mx/comprobantes/2021/CQ2100869 /C6CID840309UG7FHH0000001211.pdf")</f>
        <v>https://transparencia.cidesi.mx/comprobantes/2021/CQ2100869 /C6CID840309UG7FHH0000001211.pdf</v>
      </c>
      <c r="AO1593" t="str">
        <f>HYPERLINK("https://transparencia.cidesi.mx/comprobantes/2021/CQ2100869 /C6CID840309UG7FHH0000001211.xml")</f>
        <v>https://transparencia.cidesi.mx/comprobantes/2021/CQ2100869 /C6CID840309UG7FHH0000001211.xml</v>
      </c>
      <c r="AP1593" t="s">
        <v>3138</v>
      </c>
      <c r="AQ1593" t="s">
        <v>3139</v>
      </c>
      <c r="AR1593" t="s">
        <v>92</v>
      </c>
      <c r="AS1593" t="s">
        <v>93</v>
      </c>
      <c r="AT1593" s="1">
        <v>44462</v>
      </c>
      <c r="AU1593" t="s">
        <v>73</v>
      </c>
    </row>
    <row r="1594" spans="1:47" x14ac:dyDescent="0.3">
      <c r="A1594" t="s">
        <v>3113</v>
      </c>
      <c r="B1594" t="s">
        <v>80</v>
      </c>
      <c r="C1594" t="s">
        <v>81</v>
      </c>
      <c r="D1594">
        <v>101906</v>
      </c>
      <c r="E1594" t="s">
        <v>3114</v>
      </c>
      <c r="F1594" t="s">
        <v>1765</v>
      </c>
      <c r="G1594" t="s">
        <v>3115</v>
      </c>
      <c r="H1594" t="s">
        <v>3134</v>
      </c>
      <c r="I1594" t="s">
        <v>54</v>
      </c>
      <c r="J1594" t="s">
        <v>3135</v>
      </c>
      <c r="K1594" t="s">
        <v>56</v>
      </c>
      <c r="L1594">
        <v>0</v>
      </c>
      <c r="M1594" t="s">
        <v>73</v>
      </c>
      <c r="N1594">
        <v>0</v>
      </c>
      <c r="O1594" t="s">
        <v>58</v>
      </c>
      <c r="P1594" t="s">
        <v>59</v>
      </c>
      <c r="Q1594" t="s">
        <v>460</v>
      </c>
      <c r="R1594" t="s">
        <v>3135</v>
      </c>
      <c r="S1594" s="1">
        <v>44440</v>
      </c>
      <c r="T1594" s="1">
        <v>44443</v>
      </c>
      <c r="U1594">
        <v>37501</v>
      </c>
      <c r="V1594" t="s">
        <v>61</v>
      </c>
      <c r="W1594" t="s">
        <v>3136</v>
      </c>
      <c r="X1594" s="1">
        <v>44462</v>
      </c>
      <c r="Y1594" t="s">
        <v>100</v>
      </c>
      <c r="Z1594">
        <v>368.1</v>
      </c>
      <c r="AA1594">
        <v>16</v>
      </c>
      <c r="AB1594">
        <v>58.9</v>
      </c>
      <c r="AC1594">
        <v>42</v>
      </c>
      <c r="AD1594">
        <v>469</v>
      </c>
      <c r="AE1594">
        <v>5103.55</v>
      </c>
      <c r="AF1594">
        <v>3818</v>
      </c>
      <c r="AG1594" t="s">
        <v>3119</v>
      </c>
      <c r="AH1594" t="s">
        <v>65</v>
      </c>
      <c r="AI1594" t="s">
        <v>65</v>
      </c>
      <c r="AJ1594" t="s">
        <v>66</v>
      </c>
      <c r="AK1594" t="s">
        <v>66</v>
      </c>
      <c r="AL1594" t="s">
        <v>66</v>
      </c>
      <c r="AM1594" s="2" t="str">
        <f>HYPERLINK("https://transparencia.cidesi.mx/comprobantes/2021/CQ2100869 /C7CID840309UG7_20210903202805.pdf")</f>
        <v>https://transparencia.cidesi.mx/comprobantes/2021/CQ2100869 /C7CID840309UG7_20210903202805.pdf</v>
      </c>
      <c r="AN1594" t="str">
        <f>HYPERLINK("https://transparencia.cidesi.mx/comprobantes/2021/CQ2100869 /C7CID840309UG7_20210903202805.pdf")</f>
        <v>https://transparencia.cidesi.mx/comprobantes/2021/CQ2100869 /C7CID840309UG7_20210903202805.pdf</v>
      </c>
      <c r="AO1594" t="str">
        <f>HYPERLINK("https://transparencia.cidesi.mx/comprobantes/2021/CQ2100869 /C7CID840309UG7_20210903202805.xml")</f>
        <v>https://transparencia.cidesi.mx/comprobantes/2021/CQ2100869 /C7CID840309UG7_20210903202805.xml</v>
      </c>
      <c r="AP1594" t="s">
        <v>3138</v>
      </c>
      <c r="AQ1594" t="s">
        <v>3139</v>
      </c>
      <c r="AR1594" t="s">
        <v>92</v>
      </c>
      <c r="AS1594" t="s">
        <v>93</v>
      </c>
      <c r="AT1594" s="1">
        <v>44462</v>
      </c>
      <c r="AU1594" t="s">
        <v>73</v>
      </c>
    </row>
    <row r="1595" spans="1:47" x14ac:dyDescent="0.3">
      <c r="A1595" t="s">
        <v>3113</v>
      </c>
      <c r="B1595" t="s">
        <v>80</v>
      </c>
      <c r="C1595" t="s">
        <v>81</v>
      </c>
      <c r="D1595">
        <v>101906</v>
      </c>
      <c r="E1595" t="s">
        <v>3114</v>
      </c>
      <c r="F1595" t="s">
        <v>1765</v>
      </c>
      <c r="G1595" t="s">
        <v>3115</v>
      </c>
      <c r="H1595" t="s">
        <v>3134</v>
      </c>
      <c r="I1595" t="s">
        <v>54</v>
      </c>
      <c r="J1595" t="s">
        <v>3135</v>
      </c>
      <c r="K1595" t="s">
        <v>56</v>
      </c>
      <c r="L1595">
        <v>0</v>
      </c>
      <c r="M1595" t="s">
        <v>73</v>
      </c>
      <c r="N1595">
        <v>0</v>
      </c>
      <c r="O1595" t="s">
        <v>58</v>
      </c>
      <c r="P1595" t="s">
        <v>59</v>
      </c>
      <c r="Q1595" t="s">
        <v>460</v>
      </c>
      <c r="R1595" t="s">
        <v>3135</v>
      </c>
      <c r="S1595" s="1">
        <v>44440</v>
      </c>
      <c r="T1595" s="1">
        <v>44443</v>
      </c>
      <c r="U1595">
        <v>37501</v>
      </c>
      <c r="V1595" t="s">
        <v>61</v>
      </c>
      <c r="W1595" t="s">
        <v>3136</v>
      </c>
      <c r="X1595" s="1">
        <v>44462</v>
      </c>
      <c r="Y1595" t="s">
        <v>100</v>
      </c>
      <c r="Z1595">
        <v>193.97</v>
      </c>
      <c r="AA1595">
        <v>16</v>
      </c>
      <c r="AB1595">
        <v>31.03</v>
      </c>
      <c r="AC1595">
        <v>0</v>
      </c>
      <c r="AD1595">
        <v>225</v>
      </c>
      <c r="AE1595">
        <v>5103.55</v>
      </c>
      <c r="AF1595">
        <v>3818</v>
      </c>
      <c r="AG1595" t="s">
        <v>3119</v>
      </c>
      <c r="AH1595" t="s">
        <v>65</v>
      </c>
      <c r="AI1595" t="s">
        <v>65</v>
      </c>
      <c r="AJ1595" t="s">
        <v>66</v>
      </c>
      <c r="AK1595" t="s">
        <v>66</v>
      </c>
      <c r="AL1595" t="s">
        <v>66</v>
      </c>
      <c r="AM1595" s="2" t="str">
        <f>HYPERLINK("https://transparencia.cidesi.mx/comprobantes/2021/CQ2100869 /C8CCD130408S12-09-09-2021-111735062-cf6b6e8b-22bd-4dae-801b-5d63a527c56f-C33-790.pdf")</f>
        <v>https://transparencia.cidesi.mx/comprobantes/2021/CQ2100869 /C8CCD130408S12-09-09-2021-111735062-cf6b6e8b-22bd-4dae-801b-5d63a527c56f-C33-790.pdf</v>
      </c>
      <c r="AN1595" t="str">
        <f>HYPERLINK("https://transparencia.cidesi.mx/comprobantes/2021/CQ2100869 /C8CCD130408S12-09-09-2021-111735062-cf6b6e8b-22bd-4dae-801b-5d63a527c56f-C33-790.pdf")</f>
        <v>https://transparencia.cidesi.mx/comprobantes/2021/CQ2100869 /C8CCD130408S12-09-09-2021-111735062-cf6b6e8b-22bd-4dae-801b-5d63a527c56f-C33-790.pdf</v>
      </c>
      <c r="AO1595" t="str">
        <f>HYPERLINK("https://transparencia.cidesi.mx/comprobantes/2021/CQ2100869 /C8CCD130408S12-09-09-2021-111735062-cf6b6e8b-22bd-4dae-801b-5d63a527c56f-C33-790.xml")</f>
        <v>https://transparencia.cidesi.mx/comprobantes/2021/CQ2100869 /C8CCD130408S12-09-09-2021-111735062-cf6b6e8b-22bd-4dae-801b-5d63a527c56f-C33-790.xml</v>
      </c>
      <c r="AP1595" t="s">
        <v>3138</v>
      </c>
      <c r="AQ1595" t="s">
        <v>3139</v>
      </c>
      <c r="AR1595" t="s">
        <v>92</v>
      </c>
      <c r="AS1595" t="s">
        <v>93</v>
      </c>
      <c r="AT1595" s="1">
        <v>44462</v>
      </c>
      <c r="AU1595" t="s">
        <v>73</v>
      </c>
    </row>
    <row r="1596" spans="1:47" x14ac:dyDescent="0.3">
      <c r="A1596" t="s">
        <v>3113</v>
      </c>
      <c r="B1596" t="s">
        <v>80</v>
      </c>
      <c r="C1596" t="s">
        <v>81</v>
      </c>
      <c r="D1596">
        <v>101906</v>
      </c>
      <c r="E1596" t="s">
        <v>3114</v>
      </c>
      <c r="F1596" t="s">
        <v>1765</v>
      </c>
      <c r="G1596" t="s">
        <v>3115</v>
      </c>
      <c r="H1596" t="s">
        <v>3134</v>
      </c>
      <c r="I1596" t="s">
        <v>54</v>
      </c>
      <c r="J1596" t="s">
        <v>3135</v>
      </c>
      <c r="K1596" t="s">
        <v>56</v>
      </c>
      <c r="L1596">
        <v>0</v>
      </c>
      <c r="M1596" t="s">
        <v>73</v>
      </c>
      <c r="N1596">
        <v>0</v>
      </c>
      <c r="O1596" t="s">
        <v>58</v>
      </c>
      <c r="P1596" t="s">
        <v>59</v>
      </c>
      <c r="Q1596" t="s">
        <v>460</v>
      </c>
      <c r="R1596" t="s">
        <v>3135</v>
      </c>
      <c r="S1596" s="1">
        <v>44440</v>
      </c>
      <c r="T1596" s="1">
        <v>44443</v>
      </c>
      <c r="U1596">
        <v>37501</v>
      </c>
      <c r="V1596" t="s">
        <v>61</v>
      </c>
      <c r="W1596" t="s">
        <v>3136</v>
      </c>
      <c r="X1596" s="1">
        <v>44462</v>
      </c>
      <c r="Y1596" t="s">
        <v>100</v>
      </c>
      <c r="Z1596">
        <v>301.17</v>
      </c>
      <c r="AA1596">
        <v>16</v>
      </c>
      <c r="AB1596">
        <v>48.19</v>
      </c>
      <c r="AC1596">
        <v>0</v>
      </c>
      <c r="AD1596">
        <v>349.36</v>
      </c>
      <c r="AE1596">
        <v>5103.55</v>
      </c>
      <c r="AF1596">
        <v>3818</v>
      </c>
      <c r="AG1596" t="s">
        <v>3119</v>
      </c>
      <c r="AH1596" t="s">
        <v>66</v>
      </c>
      <c r="AI1596" t="s">
        <v>65</v>
      </c>
      <c r="AJ1596" t="s">
        <v>66</v>
      </c>
      <c r="AK1596" t="s">
        <v>66</v>
      </c>
      <c r="AL1596" t="s">
        <v>66</v>
      </c>
      <c r="AM1596" s="2" t="str">
        <f>HYPERLINK("https://transparencia.cidesi.mx/comprobantes/2021/CQ2100869 /C9FACTURA 34 $  PDF.pdf")</f>
        <v>https://transparencia.cidesi.mx/comprobantes/2021/CQ2100869 /C9FACTURA 34 $  PDF.pdf</v>
      </c>
      <c r="AN1596" t="str">
        <f>HYPERLINK("https://transparencia.cidesi.mx/comprobantes/2021/CQ2100869 /C9FACTURA 34 $  PDF.pdf")</f>
        <v>https://transparencia.cidesi.mx/comprobantes/2021/CQ2100869 /C9FACTURA 34 $  PDF.pdf</v>
      </c>
      <c r="AO1596" t="str">
        <f>HYPERLINK("https://transparencia.cidesi.mx/comprobantes/2021/CQ2100869 /C9FACTURA 34  $ 350 XML.xml")</f>
        <v>https://transparencia.cidesi.mx/comprobantes/2021/CQ2100869 /C9FACTURA 34  $ 350 XML.xml</v>
      </c>
      <c r="AP1596" t="s">
        <v>3138</v>
      </c>
      <c r="AQ1596" t="s">
        <v>3139</v>
      </c>
      <c r="AR1596" t="s">
        <v>92</v>
      </c>
      <c r="AS1596" t="s">
        <v>93</v>
      </c>
      <c r="AT1596" s="1">
        <v>44462</v>
      </c>
      <c r="AU1596" t="s">
        <v>73</v>
      </c>
    </row>
    <row r="1597" spans="1:47" x14ac:dyDescent="0.3">
      <c r="A1597" t="s">
        <v>3113</v>
      </c>
      <c r="B1597" t="s">
        <v>80</v>
      </c>
      <c r="C1597" t="s">
        <v>81</v>
      </c>
      <c r="D1597">
        <v>101906</v>
      </c>
      <c r="E1597" t="s">
        <v>3114</v>
      </c>
      <c r="F1597" t="s">
        <v>1765</v>
      </c>
      <c r="G1597" t="s">
        <v>3115</v>
      </c>
      <c r="H1597" t="s">
        <v>3134</v>
      </c>
      <c r="I1597" t="s">
        <v>54</v>
      </c>
      <c r="J1597" t="s">
        <v>3135</v>
      </c>
      <c r="K1597" t="s">
        <v>56</v>
      </c>
      <c r="L1597">
        <v>0</v>
      </c>
      <c r="M1597" t="s">
        <v>73</v>
      </c>
      <c r="N1597">
        <v>0</v>
      </c>
      <c r="O1597" t="s">
        <v>58</v>
      </c>
      <c r="P1597" t="s">
        <v>59</v>
      </c>
      <c r="Q1597" t="s">
        <v>460</v>
      </c>
      <c r="R1597" t="s">
        <v>3135</v>
      </c>
      <c r="S1597" s="1">
        <v>44440</v>
      </c>
      <c r="T1597" s="1">
        <v>44443</v>
      </c>
      <c r="U1597">
        <v>37501</v>
      </c>
      <c r="V1597" t="s">
        <v>61</v>
      </c>
      <c r="W1597" t="s">
        <v>3136</v>
      </c>
      <c r="X1597" s="1">
        <v>44462</v>
      </c>
      <c r="Y1597" t="s">
        <v>100</v>
      </c>
      <c r="Z1597">
        <v>370</v>
      </c>
      <c r="AA1597">
        <v>16</v>
      </c>
      <c r="AB1597">
        <v>59.2</v>
      </c>
      <c r="AC1597">
        <v>0</v>
      </c>
      <c r="AD1597">
        <v>429.2</v>
      </c>
      <c r="AE1597">
        <v>5103.55</v>
      </c>
      <c r="AF1597">
        <v>3818</v>
      </c>
      <c r="AG1597" t="s">
        <v>3119</v>
      </c>
      <c r="AH1597" t="s">
        <v>65</v>
      </c>
      <c r="AI1597" t="s">
        <v>65</v>
      </c>
      <c r="AJ1597" t="s">
        <v>66</v>
      </c>
      <c r="AK1597" t="s">
        <v>66</v>
      </c>
      <c r="AL1597" t="s">
        <v>66</v>
      </c>
      <c r="AM1597" s="2" t="str">
        <f>HYPERLINK("https://transparencia.cidesi.mx/comprobantes/2021/CQ2100869 /C10FAAO971127G7A-Factura-S36.pdf")</f>
        <v>https://transparencia.cidesi.mx/comprobantes/2021/CQ2100869 /C10FAAO971127G7A-Factura-S36.pdf</v>
      </c>
      <c r="AN1597" t="str">
        <f>HYPERLINK("https://transparencia.cidesi.mx/comprobantes/2021/CQ2100869 /C10FAAO971127G7A-Factura-S36.pdf")</f>
        <v>https://transparencia.cidesi.mx/comprobantes/2021/CQ2100869 /C10FAAO971127G7A-Factura-S36.pdf</v>
      </c>
      <c r="AO1597" t="str">
        <f>HYPERLINK("https://transparencia.cidesi.mx/comprobantes/2021/CQ2100869 /C10FAAO971127G7A-Factura-S36.xml")</f>
        <v>https://transparencia.cidesi.mx/comprobantes/2021/CQ2100869 /C10FAAO971127G7A-Factura-S36.xml</v>
      </c>
      <c r="AP1597" t="s">
        <v>3138</v>
      </c>
      <c r="AQ1597" t="s">
        <v>3139</v>
      </c>
      <c r="AR1597" t="s">
        <v>92</v>
      </c>
      <c r="AS1597" t="s">
        <v>93</v>
      </c>
      <c r="AT1597" s="1">
        <v>44462</v>
      </c>
      <c r="AU1597" t="s">
        <v>73</v>
      </c>
    </row>
    <row r="1598" spans="1:47" x14ac:dyDescent="0.3">
      <c r="A1598" t="s">
        <v>3113</v>
      </c>
      <c r="B1598" t="s">
        <v>80</v>
      </c>
      <c r="C1598" t="s">
        <v>81</v>
      </c>
      <c r="D1598">
        <v>101906</v>
      </c>
      <c r="E1598" t="s">
        <v>3114</v>
      </c>
      <c r="F1598" t="s">
        <v>1765</v>
      </c>
      <c r="G1598" t="s">
        <v>3115</v>
      </c>
      <c r="H1598" t="s">
        <v>3134</v>
      </c>
      <c r="I1598" t="s">
        <v>54</v>
      </c>
      <c r="J1598" t="s">
        <v>3135</v>
      </c>
      <c r="K1598" t="s">
        <v>56</v>
      </c>
      <c r="L1598">
        <v>0</v>
      </c>
      <c r="M1598" t="s">
        <v>73</v>
      </c>
      <c r="N1598">
        <v>0</v>
      </c>
      <c r="O1598" t="s">
        <v>58</v>
      </c>
      <c r="P1598" t="s">
        <v>59</v>
      </c>
      <c r="Q1598" t="s">
        <v>460</v>
      </c>
      <c r="R1598" t="s">
        <v>3135</v>
      </c>
      <c r="S1598" s="1">
        <v>44440</v>
      </c>
      <c r="T1598" s="1">
        <v>44443</v>
      </c>
      <c r="U1598">
        <v>26102</v>
      </c>
      <c r="V1598" t="s">
        <v>280</v>
      </c>
      <c r="W1598" t="s">
        <v>3136</v>
      </c>
      <c r="X1598" s="1">
        <v>44462</v>
      </c>
      <c r="Y1598" t="s">
        <v>100</v>
      </c>
      <c r="Z1598">
        <v>761.59</v>
      </c>
      <c r="AA1598">
        <v>16</v>
      </c>
      <c r="AB1598">
        <v>118.82</v>
      </c>
      <c r="AC1598">
        <v>0</v>
      </c>
      <c r="AD1598">
        <v>880.41</v>
      </c>
      <c r="AE1598">
        <v>5103.55</v>
      </c>
      <c r="AF1598">
        <v>3818</v>
      </c>
      <c r="AG1598" t="s">
        <v>3141</v>
      </c>
      <c r="AH1598" t="s">
        <v>65</v>
      </c>
      <c r="AI1598" t="s">
        <v>65</v>
      </c>
      <c r="AJ1598" t="s">
        <v>66</v>
      </c>
      <c r="AK1598" t="s">
        <v>66</v>
      </c>
      <c r="AL1598" t="s">
        <v>66</v>
      </c>
      <c r="AM1598" s="2" t="str">
        <f>HYPERLINK("https://transparencia.cidesi.mx/comprobantes/2021/CQ2100869 /C1105_E0000059933.pdf")</f>
        <v>https://transparencia.cidesi.mx/comprobantes/2021/CQ2100869 /C1105_E0000059933.pdf</v>
      </c>
      <c r="AN1598" t="str">
        <f>HYPERLINK("https://transparencia.cidesi.mx/comprobantes/2021/CQ2100869 /C1105_E0000059933.pdf")</f>
        <v>https://transparencia.cidesi.mx/comprobantes/2021/CQ2100869 /C1105_E0000059933.pdf</v>
      </c>
      <c r="AO1598" t="str">
        <f>HYPERLINK("https://transparencia.cidesi.mx/comprobantes/2021/CQ2100869 /C1105_E0000059933.xml")</f>
        <v>https://transparencia.cidesi.mx/comprobantes/2021/CQ2100869 /C1105_E0000059933.xml</v>
      </c>
      <c r="AP1598" t="s">
        <v>3138</v>
      </c>
      <c r="AQ1598" t="s">
        <v>3139</v>
      </c>
      <c r="AR1598" t="s">
        <v>92</v>
      </c>
      <c r="AS1598" t="s">
        <v>93</v>
      </c>
      <c r="AT1598" s="1">
        <v>44462</v>
      </c>
      <c r="AU1598" t="s">
        <v>73</v>
      </c>
    </row>
    <row r="1599" spans="1:47" x14ac:dyDescent="0.3">
      <c r="A1599" t="s">
        <v>3113</v>
      </c>
      <c r="B1599" t="s">
        <v>80</v>
      </c>
      <c r="C1599" t="s">
        <v>81</v>
      </c>
      <c r="D1599">
        <v>101906</v>
      </c>
      <c r="E1599" t="s">
        <v>3114</v>
      </c>
      <c r="F1599" t="s">
        <v>1765</v>
      </c>
      <c r="G1599" t="s">
        <v>3115</v>
      </c>
      <c r="H1599" t="s">
        <v>3134</v>
      </c>
      <c r="I1599" t="s">
        <v>54</v>
      </c>
      <c r="J1599" t="s">
        <v>3135</v>
      </c>
      <c r="K1599" t="s">
        <v>56</v>
      </c>
      <c r="L1599">
        <v>0</v>
      </c>
      <c r="M1599" t="s">
        <v>73</v>
      </c>
      <c r="N1599">
        <v>0</v>
      </c>
      <c r="O1599" t="s">
        <v>58</v>
      </c>
      <c r="P1599" t="s">
        <v>59</v>
      </c>
      <c r="Q1599" t="s">
        <v>460</v>
      </c>
      <c r="R1599" t="s">
        <v>3135</v>
      </c>
      <c r="S1599" s="1">
        <v>44440</v>
      </c>
      <c r="T1599" s="1">
        <v>44443</v>
      </c>
      <c r="U1599">
        <v>37501</v>
      </c>
      <c r="V1599" t="s">
        <v>94</v>
      </c>
      <c r="W1599" t="s">
        <v>3136</v>
      </c>
      <c r="X1599" s="1">
        <v>44462</v>
      </c>
      <c r="Y1599" t="s">
        <v>100</v>
      </c>
      <c r="Z1599">
        <v>80</v>
      </c>
      <c r="AA1599">
        <v>0</v>
      </c>
      <c r="AB1599">
        <v>0</v>
      </c>
      <c r="AC1599">
        <v>0</v>
      </c>
      <c r="AD1599">
        <v>80</v>
      </c>
      <c r="AE1599">
        <v>5103.55</v>
      </c>
      <c r="AF1599">
        <v>3818</v>
      </c>
      <c r="AG1599" t="s">
        <v>3142</v>
      </c>
      <c r="AH1599" t="s">
        <v>66</v>
      </c>
      <c r="AI1599" t="s">
        <v>65</v>
      </c>
      <c r="AJ1599" t="s">
        <v>66</v>
      </c>
      <c r="AK1599" t="s">
        <v>66</v>
      </c>
      <c r="AL1599" t="s">
        <v>66</v>
      </c>
      <c r="AM1599" s="2" t="str">
        <f>HYPERLINK("https://transparencia.cidesi.mx/comprobantes/2021/CQ2100869 /C12CENTRO DE INGENIERIA Y DESARROLLO INDUSTRIAL.pdf")</f>
        <v>https://transparencia.cidesi.mx/comprobantes/2021/CQ2100869 /C12CENTRO DE INGENIERIA Y DESARROLLO INDUSTRIAL.pdf</v>
      </c>
      <c r="AN1599" t="str">
        <f>HYPERLINK("https://transparencia.cidesi.mx/comprobantes/2021/CQ2100869 /C12CENTRO DE INGENIERIA Y DESARROLLO INDUSTRIAL.pdf")</f>
        <v>https://transparencia.cidesi.mx/comprobantes/2021/CQ2100869 /C12CENTRO DE INGENIERIA Y DESARROLLO INDUSTRIAL.pdf</v>
      </c>
      <c r="AO1599" t="str">
        <f>HYPERLINK("https://transparencia.cidesi.mx/comprobantes/2021/CQ2100869 /C12D55CFF62-5337-46D2-AC7D-33F7E51B64DC.xml")</f>
        <v>https://transparencia.cidesi.mx/comprobantes/2021/CQ2100869 /C12D55CFF62-5337-46D2-AC7D-33F7E51B64DC.xml</v>
      </c>
      <c r="AP1599" t="s">
        <v>3138</v>
      </c>
      <c r="AQ1599" t="s">
        <v>3139</v>
      </c>
      <c r="AR1599" t="s">
        <v>92</v>
      </c>
      <c r="AS1599" t="s">
        <v>93</v>
      </c>
      <c r="AT1599" s="1">
        <v>44462</v>
      </c>
      <c r="AU1599" t="s">
        <v>73</v>
      </c>
    </row>
  </sheetData>
  <autoFilter ref="A1:AU1599"/>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hypervin_Información Viáticos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CARLOS RAFAEL VARGAS NAVARRO</cp:lastModifiedBy>
  <dcterms:created xsi:type="dcterms:W3CDTF">2021-10-11T15:19:16Z</dcterms:created>
  <dcterms:modified xsi:type="dcterms:W3CDTF">2021-10-19T22:32:34Z</dcterms:modified>
</cp:coreProperties>
</file>